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ilindenboim\Documents\varios\"/>
    </mc:Choice>
  </mc:AlternateContent>
  <workbookProtection workbookAlgorithmName="SHA-512" workbookHashValue="HTh68cpimON2LSh2vP09hWAL4EDXCIEKI7inzpeQIUsh9AkQoSdxoFU6BbiDvLOp+A41HE+IPNSqdnrdtO7MPw==" workbookSaltValue="oTBQkeGNFZxQYro1UaV7OA==" workbookSpinCount="100000" lockStructure="1"/>
  <bookViews>
    <workbookView xWindow="-120" yWindow="-120" windowWidth="29040" windowHeight="15720"/>
  </bookViews>
  <sheets>
    <sheet name="Total" sheetId="1" r:id="rId1"/>
    <sheet name="Tablas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3" i="2" l="1"/>
  <c r="S74" i="2" s="1"/>
  <c r="S75" i="2" s="1"/>
  <c r="Q75" i="2"/>
  <c r="Q74" i="2"/>
  <c r="Q73" i="2"/>
  <c r="O75" i="2"/>
  <c r="O74" i="2"/>
  <c r="O73" i="2"/>
  <c r="M72" i="2"/>
  <c r="M73" i="2" s="1"/>
  <c r="M74" i="2" s="1"/>
  <c r="L72" i="2"/>
  <c r="L73" i="2" s="1"/>
  <c r="L74" i="2" s="1"/>
  <c r="J72" i="2"/>
  <c r="J73" i="2" s="1"/>
  <c r="J74" i="2" s="1"/>
  <c r="I72" i="2"/>
  <c r="I73" i="2" s="1"/>
  <c r="I74" i="2" s="1"/>
  <c r="H72" i="2"/>
  <c r="H73" i="2" s="1"/>
  <c r="H74" i="2" s="1"/>
  <c r="G74" i="2"/>
  <c r="G73" i="2"/>
  <c r="G72" i="2"/>
  <c r="N9" i="2"/>
  <c r="N8" i="2"/>
  <c r="M10" i="2"/>
  <c r="N10" i="2" s="1"/>
  <c r="M7" i="2"/>
  <c r="N7" i="2" s="1"/>
  <c r="L10" i="2"/>
  <c r="L9" i="2"/>
  <c r="L8" i="2"/>
  <c r="L7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O10" i="2" l="1"/>
  <c r="P10" i="2" s="1"/>
  <c r="Q10" i="2" s="1"/>
  <c r="R10" i="2" s="1"/>
  <c r="S10" i="2" s="1"/>
  <c r="T10" i="2" s="1"/>
  <c r="U10" i="2" s="1"/>
  <c r="V10" i="2" s="1"/>
  <c r="W10" i="2" s="1"/>
  <c r="O9" i="2"/>
  <c r="P9" i="2" s="1"/>
  <c r="Q9" i="2" s="1"/>
  <c r="R9" i="2" s="1"/>
  <c r="S9" i="2" s="1"/>
  <c r="T9" i="2" s="1"/>
  <c r="U9" i="2" s="1"/>
  <c r="V9" i="2" s="1"/>
  <c r="W9" i="2" s="1"/>
  <c r="O8" i="2"/>
  <c r="P8" i="2" s="1"/>
  <c r="Q8" i="2" s="1"/>
  <c r="R8" i="2" s="1"/>
  <c r="S8" i="2" s="1"/>
  <c r="T8" i="2" s="1"/>
  <c r="U8" i="2" s="1"/>
  <c r="V8" i="2" s="1"/>
  <c r="W8" i="2" s="1"/>
  <c r="O7" i="2"/>
  <c r="P7" i="2" s="1"/>
  <c r="Q7" i="2" s="1"/>
  <c r="R7" i="2" s="1"/>
  <c r="S7" i="2" s="1"/>
  <c r="T7" i="2" s="1"/>
  <c r="U7" i="2" s="1"/>
  <c r="V7" i="2" s="1"/>
  <c r="W7" i="2" s="1"/>
  <c r="K10" i="2"/>
  <c r="U75" i="2"/>
  <c r="U74" i="2"/>
  <c r="U73" i="2"/>
  <c r="U72" i="2"/>
  <c r="O71" i="2"/>
  <c r="T72" i="2" s="1"/>
  <c r="T73" i="2"/>
  <c r="S76" i="2"/>
  <c r="S77" i="2" s="1"/>
  <c r="S78" i="2" s="1"/>
  <c r="S79" i="2" s="1"/>
  <c r="S80" i="2" s="1"/>
  <c r="S81" i="2" s="1"/>
  <c r="S82" i="2" s="1"/>
  <c r="S83" i="2" s="1"/>
  <c r="S84" i="2" s="1"/>
  <c r="R73" i="2" l="1"/>
  <c r="R72" i="2"/>
  <c r="Q76" i="2"/>
  <c r="Q77" i="2" s="1"/>
  <c r="Q78" i="2" s="1"/>
  <c r="Q79" i="2" s="1"/>
  <c r="Q80" i="2" s="1"/>
  <c r="Q81" i="2" s="1"/>
  <c r="Q82" i="2" s="1"/>
  <c r="Q83" i="2" s="1"/>
  <c r="Q84" i="2" s="1"/>
  <c r="M75" i="2"/>
  <c r="M76" i="2" s="1"/>
  <c r="M77" i="2" s="1"/>
  <c r="M78" i="2" s="1"/>
  <c r="M79" i="2" s="1"/>
  <c r="M80" i="2" s="1"/>
  <c r="M81" i="2" s="1"/>
  <c r="M82" i="2" s="1"/>
  <c r="M83" i="2" s="1"/>
  <c r="L75" i="2"/>
  <c r="L76" i="2" s="1"/>
  <c r="L77" i="2" s="1"/>
  <c r="L78" i="2" s="1"/>
  <c r="L79" i="2" s="1"/>
  <c r="L80" i="2" s="1"/>
  <c r="L81" i="2" s="1"/>
  <c r="L82" i="2" s="1"/>
  <c r="L83" i="2" s="1"/>
  <c r="J75" i="2"/>
  <c r="J76" i="2" s="1"/>
  <c r="J77" i="2" s="1"/>
  <c r="J78" i="2" s="1"/>
  <c r="J79" i="2" s="1"/>
  <c r="J80" i="2" s="1"/>
  <c r="J81" i="2" s="1"/>
  <c r="J82" i="2" s="1"/>
  <c r="J83" i="2" s="1"/>
  <c r="N83" i="2" s="1"/>
  <c r="I75" i="2"/>
  <c r="I76" i="2" s="1"/>
  <c r="I77" i="2" s="1"/>
  <c r="I78" i="2" s="1"/>
  <c r="I79" i="2" s="1"/>
  <c r="I80" i="2" s="1"/>
  <c r="I81" i="2" s="1"/>
  <c r="I82" i="2" s="1"/>
  <c r="I83" i="2" s="1"/>
  <c r="K83" i="2" s="1"/>
  <c r="H75" i="2"/>
  <c r="G75" i="2"/>
  <c r="G76" i="2" s="1"/>
  <c r="G77" i="2" s="1"/>
  <c r="G78" i="2" s="1"/>
  <c r="G79" i="2" s="1"/>
  <c r="G80" i="2" s="1"/>
  <c r="G81" i="2" s="1"/>
  <c r="G82" i="2" s="1"/>
  <c r="G83" i="2" s="1"/>
  <c r="P71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G8" i="2"/>
  <c r="G9" i="2" s="1"/>
  <c r="G10" i="2" s="1"/>
  <c r="G11" i="2" s="1"/>
  <c r="G12" i="2" s="1"/>
  <c r="G13" i="2" s="1"/>
  <c r="G14" i="2" s="1"/>
  <c r="G15" i="2" s="1"/>
  <c r="G16" i="2" s="1"/>
  <c r="G17" i="2" s="1"/>
  <c r="H76" i="2" l="1"/>
  <c r="U76" i="2"/>
  <c r="R74" i="2"/>
  <c r="R75" i="2"/>
  <c r="R76" i="2"/>
  <c r="R77" i="2"/>
  <c r="R79" i="2"/>
  <c r="R82" i="2"/>
  <c r="R83" i="2"/>
  <c r="R78" i="2"/>
  <c r="R80" i="2"/>
  <c r="R81" i="2"/>
  <c r="R84" i="2"/>
  <c r="T74" i="2"/>
  <c r="K73" i="2"/>
  <c r="K75" i="2"/>
  <c r="K78" i="2"/>
  <c r="K79" i="2"/>
  <c r="N81" i="2"/>
  <c r="N82" i="2"/>
  <c r="K77" i="2"/>
  <c r="K81" i="2"/>
  <c r="K74" i="2"/>
  <c r="K80" i="2"/>
  <c r="N72" i="2"/>
  <c r="K76" i="2"/>
  <c r="K82" i="2"/>
  <c r="N73" i="2"/>
  <c r="N74" i="2"/>
  <c r="N77" i="2"/>
  <c r="N78" i="2"/>
  <c r="N75" i="2"/>
  <c r="N76" i="2"/>
  <c r="N79" i="2"/>
  <c r="K72" i="2"/>
  <c r="N80" i="2"/>
  <c r="H77" i="2" l="1"/>
  <c r="U77" i="2"/>
  <c r="T75" i="2"/>
  <c r="H78" i="2" l="1"/>
  <c r="U78" i="2"/>
  <c r="O76" i="2"/>
  <c r="T76" i="2"/>
  <c r="D11" i="2"/>
  <c r="D10" i="2"/>
  <c r="D9" i="2"/>
  <c r="D8" i="2"/>
  <c r="D7" i="2"/>
  <c r="D6" i="2"/>
  <c r="D5" i="2"/>
  <c r="E11" i="2"/>
  <c r="E10" i="2"/>
  <c r="E9" i="2"/>
  <c r="E8" i="2"/>
  <c r="E7" i="2"/>
  <c r="E6" i="2"/>
  <c r="H79" i="2" l="1"/>
  <c r="U79" i="2"/>
  <c r="O77" i="2"/>
  <c r="T77" i="2"/>
  <c r="H80" i="2" l="1"/>
  <c r="U80" i="2"/>
  <c r="O78" i="2"/>
  <c r="T78" i="2"/>
  <c r="N71" i="2"/>
  <c r="K71" i="2"/>
  <c r="H81" i="2" l="1"/>
  <c r="U81" i="2"/>
  <c r="O79" i="2"/>
  <c r="T79" i="2"/>
  <c r="D12" i="2"/>
  <c r="E12" i="2"/>
  <c r="H82" i="2" l="1"/>
  <c r="U82" i="2"/>
  <c r="O80" i="2"/>
  <c r="T80" i="2"/>
  <c r="D13" i="2"/>
  <c r="E13" i="2"/>
  <c r="M14" i="2"/>
  <c r="H83" i="2" l="1"/>
  <c r="U84" i="2" s="1"/>
  <c r="U83" i="2"/>
  <c r="O81" i="2"/>
  <c r="T81" i="2"/>
  <c r="D14" i="2"/>
  <c r="E14" i="2"/>
  <c r="O82" i="2" l="1"/>
  <c r="T82" i="2"/>
  <c r="D15" i="2"/>
  <c r="E15" i="2"/>
  <c r="O83" i="2" l="1"/>
  <c r="T83" i="2"/>
  <c r="D16" i="2"/>
  <c r="E16" i="2"/>
  <c r="O84" i="2" l="1"/>
  <c r="T84" i="2"/>
  <c r="O31" i="1"/>
  <c r="J54" i="2" l="1"/>
  <c r="J55" i="2"/>
  <c r="J56" i="2"/>
  <c r="J57" i="2"/>
  <c r="J58" i="2"/>
  <c r="J59" i="2"/>
  <c r="L56" i="2" l="1"/>
  <c r="L57" i="2" s="1"/>
  <c r="L58" i="2" s="1"/>
  <c r="L59" i="2" s="1"/>
  <c r="L60" i="2" s="1"/>
  <c r="N33" i="2" l="1"/>
  <c r="N39" i="2" l="1"/>
  <c r="N35" i="2"/>
  <c r="N34" i="2"/>
  <c r="X106" i="2"/>
  <c r="X113" i="2" s="1"/>
  <c r="W106" i="2"/>
  <c r="W113" i="2" s="1"/>
  <c r="V106" i="2"/>
  <c r="V113" i="2" s="1"/>
  <c r="U106" i="2"/>
  <c r="U113" i="2" s="1"/>
  <c r="T106" i="2"/>
  <c r="T113" i="2" s="1"/>
  <c r="S106" i="2"/>
  <c r="S113" i="2" s="1"/>
  <c r="R106" i="2"/>
  <c r="R113" i="2" s="1"/>
  <c r="Q106" i="2"/>
  <c r="Q113" i="2" s="1"/>
  <c r="P106" i="2"/>
  <c r="P113" i="2" s="1"/>
  <c r="O106" i="2"/>
  <c r="O113" i="2" s="1"/>
  <c r="X105" i="2"/>
  <c r="X112" i="2" s="1"/>
  <c r="W105" i="2"/>
  <c r="W112" i="2" s="1"/>
  <c r="V105" i="2"/>
  <c r="V112" i="2" s="1"/>
  <c r="U105" i="2"/>
  <c r="U112" i="2" s="1"/>
  <c r="T105" i="2"/>
  <c r="T112" i="2" s="1"/>
  <c r="S105" i="2"/>
  <c r="S112" i="2" s="1"/>
  <c r="R105" i="2"/>
  <c r="R112" i="2" s="1"/>
  <c r="Q105" i="2"/>
  <c r="Q112" i="2" s="1"/>
  <c r="P105" i="2"/>
  <c r="P112" i="2" s="1"/>
  <c r="O105" i="2"/>
  <c r="O112" i="2" s="1"/>
  <c r="X104" i="2"/>
  <c r="X111" i="2" s="1"/>
  <c r="W104" i="2"/>
  <c r="W111" i="2" s="1"/>
  <c r="V104" i="2"/>
  <c r="V111" i="2" s="1"/>
  <c r="U104" i="2"/>
  <c r="U111" i="2" s="1"/>
  <c r="T104" i="2"/>
  <c r="T111" i="2" s="1"/>
  <c r="S104" i="2"/>
  <c r="S111" i="2" s="1"/>
  <c r="R104" i="2"/>
  <c r="R111" i="2" s="1"/>
  <c r="Q104" i="2"/>
  <c r="Q111" i="2" s="1"/>
  <c r="P104" i="2"/>
  <c r="P111" i="2" s="1"/>
  <c r="O104" i="2"/>
  <c r="O111" i="2" s="1"/>
  <c r="X103" i="2"/>
  <c r="X110" i="2" s="1"/>
  <c r="W103" i="2"/>
  <c r="W110" i="2" s="1"/>
  <c r="V103" i="2"/>
  <c r="V110" i="2" s="1"/>
  <c r="U103" i="2"/>
  <c r="U110" i="2" s="1"/>
  <c r="T103" i="2"/>
  <c r="T110" i="2" s="1"/>
  <c r="S103" i="2"/>
  <c r="S110" i="2" s="1"/>
  <c r="R103" i="2"/>
  <c r="R110" i="2" s="1"/>
  <c r="Q103" i="2"/>
  <c r="Q110" i="2" s="1"/>
  <c r="P103" i="2"/>
  <c r="P110" i="2" s="1"/>
  <c r="O103" i="2"/>
  <c r="O110" i="2" s="1"/>
  <c r="X102" i="2"/>
  <c r="X109" i="2" s="1"/>
  <c r="W102" i="2"/>
  <c r="W109" i="2" s="1"/>
  <c r="V102" i="2"/>
  <c r="V109" i="2" s="1"/>
  <c r="U102" i="2"/>
  <c r="U109" i="2" s="1"/>
  <c r="T102" i="2"/>
  <c r="T109" i="2" s="1"/>
  <c r="S102" i="2"/>
  <c r="S109" i="2" s="1"/>
  <c r="R102" i="2"/>
  <c r="R109" i="2" s="1"/>
  <c r="Q102" i="2"/>
  <c r="Q109" i="2" s="1"/>
  <c r="P102" i="2"/>
  <c r="P109" i="2" s="1"/>
  <c r="O102" i="2"/>
  <c r="O109" i="2" s="1"/>
  <c r="X101" i="2"/>
  <c r="X108" i="2" s="1"/>
  <c r="W101" i="2"/>
  <c r="W108" i="2" s="1"/>
  <c r="V101" i="2"/>
  <c r="V108" i="2" s="1"/>
  <c r="U101" i="2"/>
  <c r="U108" i="2" s="1"/>
  <c r="T101" i="2"/>
  <c r="T108" i="2" s="1"/>
  <c r="S101" i="2"/>
  <c r="S108" i="2" s="1"/>
  <c r="R101" i="2"/>
  <c r="R108" i="2" s="1"/>
  <c r="Q101" i="2"/>
  <c r="Q108" i="2" s="1"/>
  <c r="P101" i="2"/>
  <c r="P108" i="2" s="1"/>
  <c r="O101" i="2"/>
  <c r="O108" i="2" s="1"/>
  <c r="X92" i="2"/>
  <c r="X99" i="2" s="1"/>
  <c r="W92" i="2"/>
  <c r="W99" i="2" s="1"/>
  <c r="V92" i="2"/>
  <c r="V99" i="2" s="1"/>
  <c r="U92" i="2"/>
  <c r="U99" i="2" s="1"/>
  <c r="T92" i="2"/>
  <c r="T99" i="2" s="1"/>
  <c r="S92" i="2"/>
  <c r="S99" i="2" s="1"/>
  <c r="R92" i="2"/>
  <c r="R99" i="2" s="1"/>
  <c r="Q92" i="2"/>
  <c r="Q99" i="2" s="1"/>
  <c r="P92" i="2"/>
  <c r="P99" i="2" s="1"/>
  <c r="O92" i="2"/>
  <c r="O99" i="2" s="1"/>
  <c r="X91" i="2"/>
  <c r="X98" i="2" s="1"/>
  <c r="W91" i="2"/>
  <c r="W98" i="2" s="1"/>
  <c r="V91" i="2"/>
  <c r="V98" i="2" s="1"/>
  <c r="U91" i="2"/>
  <c r="U98" i="2" s="1"/>
  <c r="T91" i="2"/>
  <c r="T98" i="2" s="1"/>
  <c r="S91" i="2"/>
  <c r="S98" i="2" s="1"/>
  <c r="R91" i="2"/>
  <c r="R98" i="2" s="1"/>
  <c r="Q91" i="2"/>
  <c r="Q98" i="2" s="1"/>
  <c r="P91" i="2"/>
  <c r="P98" i="2" s="1"/>
  <c r="O91" i="2"/>
  <c r="O98" i="2" s="1"/>
  <c r="X90" i="2"/>
  <c r="X97" i="2" s="1"/>
  <c r="W90" i="2"/>
  <c r="W97" i="2" s="1"/>
  <c r="V90" i="2"/>
  <c r="V97" i="2" s="1"/>
  <c r="U90" i="2"/>
  <c r="U97" i="2" s="1"/>
  <c r="T90" i="2"/>
  <c r="T97" i="2" s="1"/>
  <c r="S90" i="2"/>
  <c r="S97" i="2" s="1"/>
  <c r="R90" i="2"/>
  <c r="R97" i="2" s="1"/>
  <c r="Q90" i="2"/>
  <c r="Q97" i="2" s="1"/>
  <c r="P90" i="2"/>
  <c r="P97" i="2" s="1"/>
  <c r="O90" i="2"/>
  <c r="O97" i="2" s="1"/>
  <c r="X89" i="2"/>
  <c r="X96" i="2" s="1"/>
  <c r="W89" i="2"/>
  <c r="W96" i="2" s="1"/>
  <c r="V89" i="2"/>
  <c r="V96" i="2" s="1"/>
  <c r="U89" i="2"/>
  <c r="U96" i="2" s="1"/>
  <c r="T89" i="2"/>
  <c r="T96" i="2" s="1"/>
  <c r="S89" i="2"/>
  <c r="S96" i="2" s="1"/>
  <c r="R89" i="2"/>
  <c r="R96" i="2" s="1"/>
  <c r="Q89" i="2"/>
  <c r="Q96" i="2" s="1"/>
  <c r="P89" i="2"/>
  <c r="P96" i="2" s="1"/>
  <c r="O89" i="2"/>
  <c r="O96" i="2" s="1"/>
  <c r="X88" i="2"/>
  <c r="X95" i="2" s="1"/>
  <c r="W88" i="2"/>
  <c r="W95" i="2" s="1"/>
  <c r="V88" i="2"/>
  <c r="V95" i="2" s="1"/>
  <c r="U88" i="2"/>
  <c r="U95" i="2" s="1"/>
  <c r="T88" i="2"/>
  <c r="T95" i="2" s="1"/>
  <c r="S88" i="2"/>
  <c r="S95" i="2" s="1"/>
  <c r="R88" i="2"/>
  <c r="R95" i="2" s="1"/>
  <c r="Q88" i="2"/>
  <c r="Q95" i="2" s="1"/>
  <c r="P88" i="2"/>
  <c r="P95" i="2" s="1"/>
  <c r="O88" i="2"/>
  <c r="O95" i="2" s="1"/>
  <c r="X87" i="2"/>
  <c r="X94" i="2" s="1"/>
  <c r="W87" i="2"/>
  <c r="W94" i="2" s="1"/>
  <c r="V87" i="2"/>
  <c r="V94" i="2" s="1"/>
  <c r="U87" i="2"/>
  <c r="U94" i="2" s="1"/>
  <c r="T87" i="2"/>
  <c r="T94" i="2" s="1"/>
  <c r="S87" i="2"/>
  <c r="S94" i="2" s="1"/>
  <c r="R87" i="2"/>
  <c r="R94" i="2" s="1"/>
  <c r="Q87" i="2"/>
  <c r="Q94" i="2" s="1"/>
  <c r="P87" i="2"/>
  <c r="P94" i="2" s="1"/>
  <c r="O87" i="2"/>
  <c r="O94" i="2" s="1"/>
  <c r="AA67" i="2"/>
  <c r="AA66" i="2"/>
  <c r="AA65" i="2"/>
  <c r="AA64" i="2"/>
  <c r="AA63" i="2"/>
  <c r="L63" i="2"/>
  <c r="L64" i="2" s="1"/>
  <c r="L65" i="2" s="1"/>
  <c r="L66" i="2" s="1"/>
  <c r="L67" i="2" s="1"/>
  <c r="AA62" i="2"/>
  <c r="AA60" i="2"/>
  <c r="J67" i="2"/>
  <c r="AA59" i="2"/>
  <c r="J66" i="2"/>
  <c r="AA58" i="2"/>
  <c r="J65" i="2"/>
  <c r="AA57" i="2"/>
  <c r="J64" i="2"/>
  <c r="AA56" i="2"/>
  <c r="J63" i="2"/>
  <c r="AA55" i="2"/>
  <c r="J62" i="2"/>
  <c r="AA53" i="2"/>
  <c r="J53" i="2"/>
  <c r="AA52" i="2"/>
  <c r="J52" i="2"/>
  <c r="AA51" i="2"/>
  <c r="J51" i="2"/>
  <c r="AA50" i="2"/>
  <c r="J50" i="2"/>
  <c r="AA49" i="2"/>
  <c r="J49" i="2"/>
  <c r="AA48" i="2"/>
  <c r="J48" i="2"/>
  <c r="I37" i="2"/>
  <c r="I36" i="2"/>
  <c r="O33" i="2"/>
  <c r="B31" i="2"/>
  <c r="B32" i="2" s="1"/>
  <c r="N30" i="2"/>
  <c r="M30" i="2"/>
  <c r="N29" i="2"/>
  <c r="M29" i="2"/>
  <c r="N28" i="2"/>
  <c r="M28" i="2"/>
  <c r="N27" i="2"/>
  <c r="M27" i="2"/>
  <c r="N26" i="2"/>
  <c r="M26" i="2"/>
  <c r="N25" i="2"/>
  <c r="M25" i="2"/>
  <c r="T24" i="2"/>
  <c r="N24" i="2"/>
  <c r="M24" i="2"/>
  <c r="N23" i="2"/>
  <c r="M23" i="2"/>
  <c r="K23" i="2"/>
  <c r="N22" i="2"/>
  <c r="M22" i="2"/>
  <c r="T21" i="2"/>
  <c r="U22" i="2" s="1"/>
  <c r="K16" i="2"/>
  <c r="M12" i="2"/>
  <c r="J12" i="2"/>
  <c r="E5" i="2"/>
  <c r="B4" i="2"/>
  <c r="I3" i="2"/>
  <c r="O36" i="1"/>
  <c r="O35" i="1"/>
  <c r="O33" i="1"/>
  <c r="O32" i="1"/>
  <c r="L24" i="1"/>
  <c r="L9" i="1"/>
  <c r="B5" i="2" l="1"/>
  <c r="I32" i="2" s="1"/>
  <c r="R35" i="2"/>
  <c r="U24" i="2"/>
  <c r="N37" i="2"/>
  <c r="T25" i="2"/>
  <c r="T26" i="2" s="1"/>
  <c r="N36" i="2"/>
  <c r="U23" i="2"/>
  <c r="R33" i="2"/>
  <c r="N38" i="2"/>
  <c r="D17" i="2" l="1"/>
  <c r="E17" i="2"/>
  <c r="U33" i="2"/>
  <c r="U35" i="2" s="1"/>
  <c r="G19" i="2"/>
  <c r="G37" i="2" a="1"/>
  <c r="G37" i="2" s="1"/>
  <c r="U34" i="2" a="1"/>
  <c r="U34" i="2" s="1"/>
  <c r="W69" i="2"/>
  <c r="W73" i="2" s="1" a="1"/>
  <c r="W73" i="2" s="1"/>
  <c r="H2" i="1"/>
  <c r="R34" i="2"/>
  <c r="R32" i="2" s="1"/>
  <c r="K22" i="2" l="1"/>
  <c r="K19" i="2"/>
  <c r="K21" i="2"/>
  <c r="K20" i="2"/>
  <c r="G23" i="2"/>
  <c r="J8" i="1" s="1"/>
  <c r="K27" i="2"/>
  <c r="K26" i="2"/>
  <c r="K25" i="2"/>
  <c r="U36" i="2"/>
  <c r="G21" i="2"/>
  <c r="G22" i="2"/>
  <c r="J7" i="1" s="1"/>
  <c r="J37" i="2"/>
  <c r="J6" i="1" s="1"/>
  <c r="J36" i="2"/>
  <c r="J5" i="1" s="1"/>
  <c r="W72" i="2" a="1"/>
  <c r="W72" i="2" s="1"/>
  <c r="W71" i="2"/>
  <c r="I30" i="2"/>
  <c r="O42" i="2"/>
  <c r="O37" i="1"/>
  <c r="O34" i="1"/>
  <c r="J17" i="1" l="1"/>
  <c r="I17" i="1"/>
  <c r="G27" i="2"/>
  <c r="J12" i="1" s="1"/>
  <c r="G24" i="2"/>
  <c r="J9" i="1" s="1"/>
  <c r="G28" i="2"/>
  <c r="J13" i="1" s="1"/>
  <c r="G26" i="2"/>
  <c r="J11" i="1" s="1"/>
  <c r="G25" i="2"/>
  <c r="J10" i="1" s="1"/>
  <c r="G32" i="2"/>
  <c r="J21" i="1" s="1"/>
  <c r="G34" i="2"/>
  <c r="G29" i="2"/>
  <c r="J14" i="1" s="1"/>
  <c r="I29" i="2"/>
  <c r="U39" i="2" s="1"/>
  <c r="W74" i="2"/>
  <c r="G41" i="2"/>
  <c r="U38" i="2"/>
  <c r="W79" i="2"/>
  <c r="W77" i="2"/>
  <c r="W75" i="2"/>
  <c r="W76" i="2"/>
  <c r="G36" i="2"/>
  <c r="W78" i="2"/>
  <c r="G42" i="2" l="1"/>
  <c r="G40" i="2"/>
  <c r="U37" i="2"/>
  <c r="U40" i="2" s="1"/>
  <c r="U41" i="2" s="1"/>
  <c r="N40" i="2" s="1"/>
  <c r="N41" i="2" s="1"/>
  <c r="W84" i="2"/>
  <c r="W82" i="2"/>
  <c r="G39" i="2"/>
  <c r="K29" i="2"/>
  <c r="G30" i="2" s="1"/>
  <c r="J15" i="1" s="1"/>
  <c r="G38" i="2"/>
  <c r="N42" i="2" l="1"/>
  <c r="G33" i="2" s="1"/>
  <c r="J22" i="1" s="1"/>
  <c r="W80" i="2"/>
  <c r="I39" i="1"/>
  <c r="K30" i="2"/>
  <c r="H29" i="1" s="1"/>
  <c r="G43" i="2"/>
  <c r="J23" i="1" l="1"/>
  <c r="G44" i="2"/>
  <c r="G31" i="2" s="1"/>
  <c r="J16" i="1" s="1"/>
  <c r="W83" i="2"/>
  <c r="W81" i="2" l="1"/>
  <c r="J25" i="1"/>
  <c r="M24" i="1" s="1"/>
  <c r="J19" i="1"/>
  <c r="J27" i="1" l="1"/>
  <c r="M9" i="1" s="1"/>
  <c r="M8" i="1"/>
  <c r="M22" i="1" l="1"/>
  <c r="M23" i="1"/>
  <c r="M21" i="1"/>
  <c r="M5" i="1"/>
  <c r="M7" i="1"/>
  <c r="M6" i="1"/>
  <c r="M25" i="1" l="1"/>
  <c r="O25" i="1" s="1"/>
  <c r="M19" i="1"/>
  <c r="O19" i="1" s="1"/>
  <c r="M27" i="1" l="1"/>
  <c r="O27" i="1" s="1"/>
</calcChain>
</file>

<file path=xl/comments1.xml><?xml version="1.0" encoding="utf-8"?>
<comments xmlns="http://schemas.openxmlformats.org/spreadsheetml/2006/main">
  <authors>
    <author>Ire</author>
    <author>Irene Laura Lindenboim</author>
  </authors>
  <commentList>
    <comment ref="K19" authorId="0" shapeId="0">
      <text>
        <r>
          <rPr>
            <b/>
            <sz val="9"/>
            <color indexed="81"/>
            <rFont val="Tahoma"/>
            <family val="2"/>
          </rPr>
          <t>587,70 valor UR febrero 2024
A partir de enero 2026 vuelve a tomarse la UR del mes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587,70 valor UR febrero 2024
A partir de enero 2026 vuelve a tomarse la UR del mes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587,70 valor UR febrero 2024
A partir de enero 2026 vuelve a tomarse la UR del mes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587,70 valor UR febrero 2024
A partir de enero 2026 vuelve a tomarse la UR del mes</t>
        </r>
      </text>
    </comment>
    <comment ref="O71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1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1" authorId="1" shapeId="0">
      <text>
        <r>
          <rPr>
            <b/>
            <sz val="9"/>
            <color indexed="81"/>
            <rFont val="Tahoma"/>
            <family val="2"/>
          </rPr>
          <t xml:space="preserve">RESOL-2026-74-ANSES-ANSES
Art 3
del 27/03/2026
publicada 01/04/26
</t>
        </r>
      </text>
    </comment>
    <comment ref="O72" authorId="1" shapeId="0">
      <text>
        <r>
          <rPr>
            <b/>
            <sz val="9"/>
            <color indexed="81"/>
            <rFont val="Tahoma"/>
            <family val="2"/>
          </rPr>
          <t>RESOL-2026-139-ANSES-ANSES
Art 3
del 22/05/2026
publicada 29/05/26</t>
        </r>
      </text>
    </comment>
    <comment ref="Q72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2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3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3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4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4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5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5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6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6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7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7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8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8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79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79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80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80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81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81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82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82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83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83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  <comment ref="Q84" authorId="1" shapeId="0">
      <text>
        <r>
          <rPr>
            <b/>
            <sz val="9"/>
            <color indexed="81"/>
            <rFont val="Tahoma"/>
            <family val="2"/>
          </rPr>
          <t>DECTO-2026-206-APN-PTE - Homologación.
Del 27/3
Publicada 30/03
Art 3</t>
        </r>
      </text>
    </comment>
    <comment ref="T84" authorId="1" shapeId="0">
      <text>
        <r>
          <rPr>
            <b/>
            <sz val="9"/>
            <color indexed="81"/>
            <rFont val="Tahoma"/>
            <family val="2"/>
          </rPr>
          <t xml:space="preserve">RESOL-2026-110-ANSES-ANSES
Art 3
del 30/04/2026
publicada 04/05/26
</t>
        </r>
      </text>
    </comment>
  </commentList>
</comments>
</file>

<file path=xl/sharedStrings.xml><?xml version="1.0" encoding="utf-8"?>
<sst xmlns="http://schemas.openxmlformats.org/spreadsheetml/2006/main" count="454" uniqueCount="257">
  <si>
    <t>OBLIGATORIO</t>
  </si>
  <si>
    <t>Mes</t>
  </si>
  <si>
    <t>Detalle Haberes (Bruto)</t>
  </si>
  <si>
    <t>Detalle Deducciones</t>
  </si>
  <si>
    <t>Neto (en mano)</t>
  </si>
  <si>
    <t>Contrato</t>
  </si>
  <si>
    <t>SUELDO</t>
  </si>
  <si>
    <t>Descuento Jubilatorio</t>
  </si>
  <si>
    <t>Nivel</t>
  </si>
  <si>
    <t>DEDICACIÓN FUNCIONAL</t>
  </si>
  <si>
    <t>INSSJP</t>
  </si>
  <si>
    <t>Grado</t>
  </si>
  <si>
    <t>ADICIONAL x GRADO</t>
  </si>
  <si>
    <t>Obra Social Oblig</t>
  </si>
  <si>
    <t>Agrupamiento</t>
  </si>
  <si>
    <t>GRADO EXTRAORDINARIO</t>
  </si>
  <si>
    <t>Seguro de Vida Oblig</t>
  </si>
  <si>
    <t>AGRUPAMIENTO</t>
  </si>
  <si>
    <t>ADICIONAL x ZONA</t>
  </si>
  <si>
    <t>Adicional x Zona (%)</t>
  </si>
  <si>
    <t>U. RETRIBUTIVAS</t>
  </si>
  <si>
    <t>Otras (COMPLETAR)</t>
  </si>
  <si>
    <t>FUNCIÓN ESPECÍFICA</t>
  </si>
  <si>
    <t>U. Retributivas (UR)</t>
  </si>
  <si>
    <t>MOVILIDAD</t>
  </si>
  <si>
    <t>TRAMO</t>
  </si>
  <si>
    <t>F. Específica (%)</t>
  </si>
  <si>
    <t>F. EJECUTIVA/JEFATURA</t>
  </si>
  <si>
    <t>BONO DECRETO Nº 56/20</t>
  </si>
  <si>
    <t>Movilidad</t>
  </si>
  <si>
    <t>SUBTOTAL</t>
  </si>
  <si>
    <t>Tramo</t>
  </si>
  <si>
    <t>PRESENTISMO</t>
  </si>
  <si>
    <t>HORAS EXTRAS</t>
  </si>
  <si>
    <t>Suplementos x Funciones</t>
  </si>
  <si>
    <t>ADICIONAL COMIDAS</t>
  </si>
  <si>
    <t>Func. Ejecutiva</t>
  </si>
  <si>
    <t>Presentismo+H. Extras</t>
  </si>
  <si>
    <t>Func. Jefatura</t>
  </si>
  <si>
    <t xml:space="preserve">  Uso exclusivo para Planta Permanente (PP)</t>
  </si>
  <si>
    <t>TOTAL</t>
  </si>
  <si>
    <t>Aporte sindical</t>
  </si>
  <si>
    <t>P/ HE: la situación es igual a la del mes anterior?</t>
  </si>
  <si>
    <t>Otros datos</t>
  </si>
  <si>
    <t>Presentismo</t>
  </si>
  <si>
    <t>Situación del mes anterior (si no es igual)</t>
  </si>
  <si>
    <t>Pago Guardería</t>
  </si>
  <si>
    <t>Viáticos NOA</t>
  </si>
  <si>
    <t xml:space="preserve">Noroeste Argentino (Jujuy, Salta, Tucumán, Catamarca y La Rioja) </t>
  </si>
  <si>
    <t>Horas Extras (HE)</t>
  </si>
  <si>
    <t>Viáticos NEA</t>
  </si>
  <si>
    <t>Noreste Argentino (Misiones, Corrientes, Entre Ríos, Formosa y Chaco)</t>
  </si>
  <si>
    <t>H. Extras (cant.)</t>
  </si>
  <si>
    <t>Viáticos CUYO</t>
  </si>
  <si>
    <t xml:space="preserve">Cuyo (San Juan, Mendoza y San Luis) </t>
  </si>
  <si>
    <t>Adic. comida (cant.)</t>
  </si>
  <si>
    <t>Viáticos CENTRO</t>
  </si>
  <si>
    <t xml:space="preserve">Centro (Córdoba, Santiago del Estero, Santa Fe y La Pampa) </t>
  </si>
  <si>
    <t>Viáticos SUR</t>
  </si>
  <si>
    <t xml:space="preserve">Sur (Neuquén, Río Negro, Chubut, Santa Cruz y TIerra del Fuego) </t>
  </si>
  <si>
    <t>Viáticos Metrop. Bs As</t>
  </si>
  <si>
    <t xml:space="preserve">Región Metropolitana de Buenos Aires (Buenos Aires y CABA) </t>
  </si>
  <si>
    <r>
      <rPr>
        <b/>
        <i/>
        <sz val="10"/>
        <rFont val="Arial"/>
        <family val="2"/>
      </rPr>
      <t>Mes:</t>
    </r>
    <r>
      <rPr>
        <sz val="10"/>
        <rFont val="Arial"/>
        <family val="2"/>
      </rPr>
      <t xml:space="preserve"> Mes consulta (se cobra el último día hábil).</t>
    </r>
  </si>
  <si>
    <t>Agrupamientos - %</t>
  </si>
  <si>
    <r>
      <rPr>
        <b/>
        <i/>
        <sz val="10"/>
        <rFont val="Arial"/>
        <family val="2"/>
      </rPr>
      <t xml:space="preserve">Asignación Básica: </t>
    </r>
    <r>
      <rPr>
        <sz val="10"/>
        <rFont val="Arial"/>
        <family val="2"/>
      </rPr>
      <t>Sueldo básico + Dedicación funcional.</t>
    </r>
  </si>
  <si>
    <t>Agrupamiento Profesional PP</t>
  </si>
  <si>
    <r>
      <rPr>
        <b/>
        <i/>
        <sz val="10"/>
        <rFont val="Arial"/>
        <family val="2"/>
      </rPr>
      <t xml:space="preserve">Adicional por zona: </t>
    </r>
    <r>
      <rPr>
        <i/>
        <sz val="10"/>
        <rFont val="Arial"/>
        <family val="2"/>
      </rPr>
      <t>Consultar el % correspondiente en Resolución de Secretaría de la Función Pública Nº299/95, Anexo 3.</t>
    </r>
  </si>
  <si>
    <t>Agrupamiento Profesional Art 9.</t>
  </si>
  <si>
    <t>https://www.argentina.gob.ar/normativa/nacional/resoluci%C3%B3n-299-1995-26908/texto</t>
  </si>
  <si>
    <t>General - Suplemento x Capacitación Terciaria PP</t>
  </si>
  <si>
    <r>
      <rPr>
        <b/>
        <i/>
        <sz val="10"/>
        <rFont val="Arial"/>
        <family val="2"/>
      </rPr>
      <t>UR:</t>
    </r>
    <r>
      <rPr>
        <sz val="10"/>
        <rFont val="Arial"/>
        <family val="2"/>
      </rPr>
      <t xml:space="preserve"> cargar cantidad UR para que se calcule el monto.</t>
    </r>
  </si>
  <si>
    <t>General - Suplemento x Capacitación Terciaria Art. 9</t>
  </si>
  <si>
    <r>
      <rPr>
        <b/>
        <i/>
        <sz val="10"/>
        <rFont val="Arial"/>
        <family val="2"/>
      </rPr>
      <t xml:space="preserve">F. Específica: </t>
    </r>
    <r>
      <rPr>
        <sz val="10"/>
        <rFont val="Arial"/>
        <family val="2"/>
      </rPr>
      <t>Cargar el % en caso de corresponder. Si se percibe Suplem. x Agrupamiento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Prof./Cient. Técnico/Especializado,</t>
    </r>
  </si>
  <si>
    <t xml:space="preserve">General - Suplemento x Compensación Transitoria </t>
  </si>
  <si>
    <t>la suma de ambos % no podrá ser &gt;100% (de superarlo, debe ajustarse el % para que dé 100%).</t>
  </si>
  <si>
    <t>Agrupamientos Científico Técnico / Especializado</t>
  </si>
  <si>
    <r>
      <rPr>
        <b/>
        <i/>
        <sz val="10"/>
        <rFont val="Arial"/>
        <family val="2"/>
      </rPr>
      <t xml:space="preserve">Movilidad: </t>
    </r>
    <r>
      <rPr>
        <i/>
        <sz val="10"/>
        <rFont val="Arial"/>
        <family val="2"/>
      </rPr>
      <t>Aclarar "SÍ" en caso de corresponder Movilidad.</t>
    </r>
  </si>
  <si>
    <r>
      <rPr>
        <b/>
        <i/>
        <sz val="10"/>
        <rFont val="Arial"/>
        <family val="2"/>
      </rPr>
      <t>Tramo:</t>
    </r>
    <r>
      <rPr>
        <sz val="10"/>
        <rFont val="Arial"/>
        <family val="2"/>
      </rPr>
      <t xml:space="preserve"> Intermedio (compatible desde Grado 4) / Avanzado (compatible desde grado 8).</t>
    </r>
  </si>
  <si>
    <r>
      <rPr>
        <b/>
        <i/>
        <sz val="10"/>
        <rFont val="Arial"/>
        <family val="2"/>
      </rPr>
      <t>Suplem. Func.:</t>
    </r>
    <r>
      <rPr>
        <sz val="10"/>
        <rFont val="Arial"/>
        <family val="2"/>
      </rPr>
      <t xml:space="preserve"> Ejecutiva (incompatible con Agrup. Prof./Cient.-Técnico/Especializado, Cap. Terciaria y F. Específica) / Jefatura.</t>
    </r>
  </si>
  <si>
    <t xml:space="preserve">Adicional x zona por Agencia Territorial (AT) </t>
  </si>
  <si>
    <r>
      <rPr>
        <b/>
        <i/>
        <sz val="10"/>
        <color rgb="FF000000"/>
        <rFont val="Arial"/>
        <family val="2"/>
      </rPr>
      <t>Aporte sindical/solidario:</t>
    </r>
    <r>
      <rPr>
        <sz val="10"/>
        <color rgb="FF000000"/>
        <rFont val="Arial"/>
        <family val="2"/>
      </rPr>
      <t xml:space="preserve"> aclarar en caso de realizar aportes a algún gremo (o ambos).</t>
    </r>
  </si>
  <si>
    <t>B. Blanca / Concordia / Santa Rosa</t>
  </si>
  <si>
    <r>
      <rPr>
        <b/>
        <i/>
        <sz val="10"/>
        <rFont val="Arial"/>
        <family val="2"/>
      </rPr>
      <t>Bono:</t>
    </r>
    <r>
      <rPr>
        <sz val="10"/>
        <rFont val="Arial"/>
        <family val="2"/>
      </rPr>
      <t xml:space="preserve"> se calcula en función del Salario vigente al 01/01/2020.</t>
    </r>
  </si>
  <si>
    <t>Catamarca / San Rafael / Sgo del Estero / Tucumán</t>
  </si>
  <si>
    <t>Corrientes / Formosa / Gral Roca / Jujuy / La Rioja /</t>
  </si>
  <si>
    <t>Mendoza / Neuquén / Posadas / Resistencia / Salta / San Juan</t>
  </si>
  <si>
    <r>
      <rPr>
        <b/>
        <i/>
        <sz val="10"/>
        <rFont val="Arial"/>
        <family val="2"/>
      </rPr>
      <t>Horas Extras:</t>
    </r>
    <r>
      <rPr>
        <sz val="10"/>
        <rFont val="Arial"/>
        <family val="2"/>
      </rPr>
      <t xml:space="preserve"> en el cuadro izquierdo cargar cantidades y en cuadro derecho aclarar "SI" o "NO", según si la situación </t>
    </r>
  </si>
  <si>
    <t>Viedma</t>
  </si>
  <si>
    <t>es igual a la del mes anterior. De no ser igual, cargar los datos correspondientes al mes anterior.</t>
  </si>
  <si>
    <t>C. Rivadavia / Trelew</t>
  </si>
  <si>
    <r>
      <rPr>
        <b/>
        <i/>
        <sz val="10"/>
        <rFont val="Arial"/>
        <family val="2"/>
      </rPr>
      <t>Otras</t>
    </r>
    <r>
      <rPr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Deducciones:</t>
    </r>
    <r>
      <rPr>
        <sz val="10"/>
        <rFont val="Arial"/>
        <family val="2"/>
      </rPr>
      <t xml:space="preserve"> en caso de aportes mutuales, préstamos, pago de Impuesto a las Ganancias u otros, completar.</t>
    </r>
  </si>
  <si>
    <t xml:space="preserve">C. Olivia / Río Gallegos / S. C. de Bariloche </t>
  </si>
  <si>
    <t>Río Grande</t>
  </si>
  <si>
    <t>UR</t>
  </si>
  <si>
    <t>% aumento</t>
  </si>
  <si>
    <t>Contrato &amp; Agrupamiento</t>
  </si>
  <si>
    <t>pago corresponde a</t>
  </si>
  <si>
    <t>Agrupamiento Profesional</t>
  </si>
  <si>
    <t>1 inas (70%)</t>
  </si>
  <si>
    <t>Capacitación Terciaria</t>
  </si>
  <si>
    <t>2 inas (40%)</t>
  </si>
  <si>
    <t>Compensación Transitoria</t>
  </si>
  <si>
    <t>3 inas o + (0%)</t>
  </si>
  <si>
    <t>Científico Técnico</t>
  </si>
  <si>
    <t>Especializado</t>
  </si>
  <si>
    <t>Cantidad UR</t>
  </si>
  <si>
    <t>Adic. x Zona</t>
  </si>
  <si>
    <t>CONTRATO</t>
  </si>
  <si>
    <t>LETRA</t>
  </si>
  <si>
    <t xml:space="preserve">FUNCION EJECUTIVA </t>
  </si>
  <si>
    <t>FUNCION JEFATURA</t>
  </si>
  <si>
    <t>Art. 9</t>
  </si>
  <si>
    <t>F.  Específica</t>
  </si>
  <si>
    <t>A</t>
  </si>
  <si>
    <t>Intermedio</t>
  </si>
  <si>
    <t>Nivel I</t>
  </si>
  <si>
    <t>PP</t>
  </si>
  <si>
    <t>Suplemento</t>
  </si>
  <si>
    <t>B</t>
  </si>
  <si>
    <t>Avanzado</t>
  </si>
  <si>
    <t>Nivel II</t>
  </si>
  <si>
    <t>Art. 9Agrupamiento Profesional</t>
  </si>
  <si>
    <t>C</t>
  </si>
  <si>
    <t>Nivel III</t>
  </si>
  <si>
    <t>Art. 9Capacitación Terciaria</t>
  </si>
  <si>
    <t>NIVEL</t>
  </si>
  <si>
    <t>Monto</t>
  </si>
  <si>
    <t>D</t>
  </si>
  <si>
    <t>Nivel IV</t>
  </si>
  <si>
    <t>Art. 9Compensación Transitoria</t>
  </si>
  <si>
    <t>E</t>
  </si>
  <si>
    <t>Art. 9Científico Técnico</t>
  </si>
  <si>
    <t>F</t>
  </si>
  <si>
    <t>Art. 9Especializado</t>
  </si>
  <si>
    <t>A. BÁSICA</t>
  </si>
  <si>
    <t>cálculo</t>
  </si>
  <si>
    <t>May-22 en adelante</t>
  </si>
  <si>
    <t>PPAgrupamiento Profesional</t>
  </si>
  <si>
    <t>ADIC X GRADO</t>
  </si>
  <si>
    <t>B0</t>
  </si>
  <si>
    <t>PPCapacitación Terciaria</t>
  </si>
  <si>
    <t>GRADO EXTRAORD</t>
  </si>
  <si>
    <t>grado</t>
  </si>
  <si>
    <t>PPCompensación Transitoria</t>
  </si>
  <si>
    <t>SUPL. AGRUP.</t>
  </si>
  <si>
    <t>agrupamiento</t>
  </si>
  <si>
    <t>PPCientífico Técnico</t>
  </si>
  <si>
    <t>ADIC X ZONA</t>
  </si>
  <si>
    <t>PPEspecializado</t>
  </si>
  <si>
    <t>F. ESPEC.</t>
  </si>
  <si>
    <t>SOLUCION</t>
  </si>
  <si>
    <t>Valor Ejec</t>
  </si>
  <si>
    <t>Nivel&amp;Grado</t>
  </si>
  <si>
    <t>SUPLEMENTO</t>
  </si>
  <si>
    <t>Valof Jefat</t>
  </si>
  <si>
    <t>BONO</t>
  </si>
  <si>
    <t>Error de suplementos</t>
  </si>
  <si>
    <t>Error para letras E y F de PP</t>
  </si>
  <si>
    <t>Cálculo para H. Extras</t>
  </si>
  <si>
    <t>Tope HE</t>
  </si>
  <si>
    <t>Cálculo BONO p/HE</t>
  </si>
  <si>
    <t xml:space="preserve">Para determinar dicha retribución no se considerarán: </t>
  </si>
  <si>
    <t xml:space="preserve"> </t>
  </si>
  <si>
    <t>H. EXTRAS</t>
  </si>
  <si>
    <t>A. Básica</t>
  </si>
  <si>
    <t>A. Básica 01/20</t>
  </si>
  <si>
    <t xml:space="preserve">los grados extraordinarios que pudieran corresponder a cada agente afectado o afectada, </t>
  </si>
  <si>
    <t>AD. COMIDAS</t>
  </si>
  <si>
    <t>Adic Grado</t>
  </si>
  <si>
    <t>Adic Grado 01/20</t>
  </si>
  <si>
    <t xml:space="preserve">el valor de la Compensación por Zona, el Adicional por Tramo en los casos y Nivel de Tramo que corresponda, </t>
  </si>
  <si>
    <t>ASIGNACIÓN BÁSICA</t>
  </si>
  <si>
    <t>Grado Extraordinario</t>
  </si>
  <si>
    <t>Supl Agrup</t>
  </si>
  <si>
    <t>Supl Agrup 01/20</t>
  </si>
  <si>
    <t xml:space="preserve">las Compensaciones Transitorias acordadas por el Acta Acuerdo de fecha 30 de noviembre de 2011, homologada por el Decreto N° 39 del 9 de enero de 2012, </t>
  </si>
  <si>
    <t>CÁLCULO PARA BONO</t>
  </si>
  <si>
    <t>Adic Zona 01/20</t>
  </si>
  <si>
    <t xml:space="preserve">la Compensación Transitoria acordada mediante la Cláusula Cuarta del Acta Acuerdo de fecha 29 de mayo de 2015, homologada por el Decreto N° 1118 del 12 de junio de 2015, </t>
  </si>
  <si>
    <t>Adic Zona</t>
  </si>
  <si>
    <t>F. Espec. 01/20</t>
  </si>
  <si>
    <t xml:space="preserve">la Compensación por Gastos Incurridos establecida en el Decreto Nº 750 del 18 de marzo de 1977 y sus modificatorios, </t>
  </si>
  <si>
    <t>F. Espec.</t>
  </si>
  <si>
    <t>Tramo 01/20</t>
  </si>
  <si>
    <t xml:space="preserve">como asimismo el Premio Estímulo a la Asistencia acordado por el Acta de fecha 23 de mayo de 2019, homologado por el Decreto Nº 445 del 28 de junio de 2019 y sus modificatorios, </t>
  </si>
  <si>
    <t>Suplem 01/20</t>
  </si>
  <si>
    <t>y las sumas fijas remunerativas no bonificables mensuales dispuestas en el Decreto N° 56 del 13 de enero de 2020, mientras conserven la naturaleza asignada por su norma de creación.</t>
  </si>
  <si>
    <t>Bono</t>
  </si>
  <si>
    <t>Total p/bono</t>
  </si>
  <si>
    <t>Total p/H. E</t>
  </si>
  <si>
    <t>H. Extra</t>
  </si>
  <si>
    <t>Error horas extras</t>
  </si>
  <si>
    <t>Para C y D: asignación básica + adicional x grado + agrupamiento + tramo + bono, todo eso dividido por 20 y luego por 8</t>
  </si>
  <si>
    <t>Para E y F: asignación básica + adicional x grado + agrupamiento + tramo + bono, todo eso dividido por 20 y luego por 7</t>
  </si>
  <si>
    <t>Sueldo</t>
  </si>
  <si>
    <t>Ded. func.</t>
  </si>
  <si>
    <t>Asignacion basica</t>
  </si>
  <si>
    <t>adicional</t>
  </si>
  <si>
    <t>jun/22 en adel</t>
  </si>
  <si>
    <t>A10</t>
  </si>
  <si>
    <t>B10</t>
  </si>
  <si>
    <t>C10</t>
  </si>
  <si>
    <t>D10</t>
  </si>
  <si>
    <t>PARA BONO</t>
  </si>
  <si>
    <t>E10</t>
  </si>
  <si>
    <t>F10</t>
  </si>
  <si>
    <t>Viáticos</t>
  </si>
  <si>
    <t>Guardería</t>
  </si>
  <si>
    <t xml:space="preserve">Movilidad </t>
  </si>
  <si>
    <t>NOA</t>
  </si>
  <si>
    <t>NEA</t>
  </si>
  <si>
    <t>Cuyo</t>
  </si>
  <si>
    <t>Centro</t>
  </si>
  <si>
    <t>Sur</t>
  </si>
  <si>
    <t>AMBA</t>
  </si>
  <si>
    <t>Tope MOPRE</t>
  </si>
  <si>
    <t>Mes ref anterior</t>
  </si>
  <si>
    <t>Tope p/H. Extras</t>
  </si>
  <si>
    <t>UR p/H. Extra</t>
  </si>
  <si>
    <t>Comida</t>
  </si>
  <si>
    <t>Tope MOPRE P/presentismo</t>
  </si>
  <si>
    <t>Movilidad p/tope Presentismo</t>
  </si>
  <si>
    <r>
      <rPr>
        <sz val="10"/>
        <color rgb="FF000000"/>
        <rFont val="Calibri"/>
        <family val="2"/>
      </rPr>
      <t xml:space="preserve">Se establecen por </t>
    </r>
    <r>
      <rPr>
        <b/>
        <sz val="10"/>
        <color rgb="FF000000"/>
        <rFont val="Calibri"/>
        <family val="2"/>
      </rPr>
      <t>DECRETO</t>
    </r>
    <r>
      <rPr>
        <sz val="10"/>
        <color rgb="FF000000"/>
        <rFont val="Calibri"/>
        <family val="2"/>
      </rPr>
      <t xml:space="preserve"> los valores de </t>
    </r>
    <r>
      <rPr>
        <b/>
        <sz val="10"/>
        <color rgb="FF000000"/>
        <rFont val="Calibri"/>
        <family val="2"/>
      </rPr>
      <t>UR,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Movilidad,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Viáticos,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 xml:space="preserve">Tope Horas Extras ("servicios extraordinarios") </t>
    </r>
    <r>
      <rPr>
        <sz val="10"/>
        <color rgb="FF000000"/>
        <rFont val="Calibri"/>
        <family val="2"/>
      </rPr>
      <t xml:space="preserve">y </t>
    </r>
    <r>
      <rPr>
        <b/>
        <sz val="10"/>
        <color rgb="FF000000"/>
        <rFont val="Calibri"/>
        <family val="2"/>
      </rPr>
      <t>Comida.</t>
    </r>
  </si>
  <si>
    <r>
      <rPr>
        <sz val="10"/>
        <rFont val="Arial"/>
        <family val="2"/>
      </rPr>
      <t xml:space="preserve">Por </t>
    </r>
    <r>
      <rPr>
        <b/>
        <sz val="10"/>
        <rFont val="Arial"/>
        <family val="2"/>
      </rPr>
      <t xml:space="preserve">RES ANSES </t>
    </r>
    <r>
      <rPr>
        <sz val="10"/>
        <rFont val="Arial"/>
        <family val="2"/>
      </rPr>
      <t xml:space="preserve">se establece el </t>
    </r>
    <r>
      <rPr>
        <b/>
        <sz val="10"/>
        <rFont val="Arial"/>
        <family val="2"/>
      </rPr>
      <t>Tope MOPRE</t>
    </r>
  </si>
  <si>
    <t>aumento grados</t>
  </si>
  <si>
    <r>
      <t xml:space="preserve">En el </t>
    </r>
    <r>
      <rPr>
        <b/>
        <sz val="10"/>
        <color rgb="FF000000"/>
        <rFont val="Calibri"/>
        <family val="2"/>
      </rPr>
      <t>ACTA</t>
    </r>
    <r>
      <rPr>
        <sz val="10"/>
        <color rgb="FF000000"/>
        <rFont val="Calibri"/>
        <family val="2"/>
      </rPr>
      <t xml:space="preserve"> se publican </t>
    </r>
    <r>
      <rPr>
        <b/>
        <sz val="10"/>
        <color rgb="FF000000"/>
        <rFont val="Calibri"/>
        <family val="2"/>
      </rPr>
      <t xml:space="preserve">guardería (puede estar en el Decreto) </t>
    </r>
    <r>
      <rPr>
        <sz val="10"/>
        <color rgb="FF000000"/>
        <rFont val="Calibri"/>
        <family val="2"/>
      </rPr>
      <t>y</t>
    </r>
    <r>
      <rPr>
        <b/>
        <sz val="10"/>
        <color rgb="FF000000"/>
        <rFont val="Calibri"/>
        <family val="2"/>
      </rPr>
      <t xml:space="preserve"> presentismo.</t>
    </r>
  </si>
  <si>
    <t>feb/24 en adel</t>
  </si>
  <si>
    <t>UR dde feb/24</t>
  </si>
  <si>
    <t>Obra Social</t>
  </si>
  <si>
    <t>Descuentos (COMPLETAR)</t>
  </si>
  <si>
    <t>Acumulado</t>
  </si>
  <si>
    <t>mensual</t>
  </si>
  <si>
    <t>se cobra en mes</t>
  </si>
  <si>
    <t>2 días</t>
  </si>
  <si>
    <t>3 días</t>
  </si>
  <si>
    <t>4 días</t>
  </si>
  <si>
    <t>Nivel estudios</t>
  </si>
  <si>
    <t xml:space="preserve">Terciarios </t>
  </si>
  <si>
    <t xml:space="preserve">Universitarios </t>
  </si>
  <si>
    <t>Cónyuge / Adultos &gt;65 años</t>
  </si>
  <si>
    <t>Personas con Discapacidad</t>
  </si>
  <si>
    <t xml:space="preserve">Niños hasta 18 años </t>
  </si>
  <si>
    <t>Termin. secund. y posgrado</t>
  </si>
  <si>
    <t>Familiar a cargo</t>
  </si>
  <si>
    <t>Corto Tratamiento</t>
  </si>
  <si>
    <t>Para rendir exámenes</t>
  </si>
  <si>
    <t>Por enfermedad de familiar a cargo</t>
  </si>
  <si>
    <t>Por enfermedad del agente</t>
  </si>
  <si>
    <t>Enfermedad del agente</t>
  </si>
  <si>
    <t>Licencias que no afectan presentismo</t>
  </si>
  <si>
    <t>jun/26 - ago/26</t>
  </si>
  <si>
    <t>Asignación/Designación Transitoria F. Ej.</t>
  </si>
  <si>
    <t>Art. 9Asignación/Designación Transitoria F. Ej.</t>
  </si>
  <si>
    <t>PPAsignación/Designación Transitoria F. Ej.</t>
  </si>
  <si>
    <t>Asignación/Designación Transitoria en F. Ejecutiva (x incompatib.)</t>
  </si>
  <si>
    <r>
      <rPr>
        <b/>
        <i/>
        <sz val="10"/>
        <rFont val="Arial"/>
        <family val="2"/>
      </rPr>
      <t>Presentismo:</t>
    </r>
    <r>
      <rPr>
        <sz val="10"/>
        <rFont val="Arial"/>
        <family val="2"/>
      </rPr>
      <t xml:space="preserve"> de ser pertinente, cargar la opción que aplique: 100%, 1, 2 o 3 o + inasistencias (Tener en cuenta: se cobra el presentismo</t>
    </r>
  </si>
  <si>
    <t>que coresponde al valor vigente del mes anterior).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</si>
</sst>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_ &quot;$&quot;\ * #,##0.00_ ;_ &quot;$&quot;\ * \-#,##0.00_ ;_ &quot;$&quot;\ * &quot;-&quot;??_ ;_ @_ "/>
    <numFmt numFmtId="165" formatCode="[$-C0A]mmmm\-yy"/>
    <numFmt numFmtId="166" formatCode="_-* #,##0.00\ _€_-;\-* #,##0.00\ _€_-;_-* &quot;-&quot;??\ _€_-;_-@"/>
    <numFmt numFmtId="167" formatCode="_-* #,##0\ _€_-;\-* #,##0\ _€_-;_-* &quot;-&quot;??\ _€_-;_-@"/>
    <numFmt numFmtId="168" formatCode="0.0%"/>
    <numFmt numFmtId="169" formatCode="#,##0.0000"/>
  </numFmts>
  <fonts count="36" x14ac:knownFonts="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sz val="10"/>
      <color rgb="FF595959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sz val="10"/>
      <color rgb="FF7F6000"/>
      <name val="Arial"/>
      <family val="2"/>
    </font>
    <font>
      <sz val="10"/>
      <color rgb="FF3F3F3F"/>
      <name val="Arial"/>
      <family val="2"/>
    </font>
    <font>
      <b/>
      <sz val="10"/>
      <color rgb="FF595959"/>
      <name val="Arial"/>
      <family val="2"/>
    </font>
    <font>
      <b/>
      <sz val="10"/>
      <color rgb="FF262626"/>
      <name val="Arial"/>
      <family val="2"/>
    </font>
    <font>
      <sz val="9"/>
      <color rgb="FF833C0B"/>
      <name val="Arial"/>
      <family val="2"/>
    </font>
    <font>
      <b/>
      <sz val="10"/>
      <color rgb="FF171616"/>
      <name val="Arial"/>
      <family val="2"/>
    </font>
    <font>
      <b/>
      <sz val="10"/>
      <color rgb="FF385623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u/>
      <sz val="10"/>
      <color rgb="FF0000FF"/>
      <name val="Arial"/>
      <family val="2"/>
    </font>
    <font>
      <sz val="9"/>
      <color rgb="FF000000"/>
      <name val="Arial"/>
      <family val="2"/>
    </font>
    <font>
      <sz val="10"/>
      <color rgb="FF000000"/>
      <name val="Calibri"/>
      <family val="2"/>
    </font>
    <font>
      <sz val="8"/>
      <name val="Arial"/>
      <family val="2"/>
    </font>
    <font>
      <sz val="9"/>
      <color rgb="FF000000"/>
      <name val="Verdana"/>
      <family val="2"/>
    </font>
    <font>
      <b/>
      <sz val="10"/>
      <color rgb="FF000000"/>
      <name val="Calibri"/>
      <family val="2"/>
    </font>
    <font>
      <b/>
      <sz val="8"/>
      <name val="Arial"/>
      <family val="2"/>
    </font>
    <font>
      <b/>
      <i/>
      <sz val="8"/>
      <name val="Arial"/>
      <family val="2"/>
    </font>
    <font>
      <u/>
      <sz val="10"/>
      <name val="Arial"/>
      <family val="2"/>
    </font>
    <font>
      <sz val="11"/>
      <color rgb="FF212529"/>
      <name val="Arial"/>
      <family val="2"/>
    </font>
    <font>
      <i/>
      <sz val="1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rgb="FF7F6000"/>
        <bgColor rgb="FF7F6000"/>
      </patternFill>
    </fill>
    <fill>
      <patternFill patternType="solid">
        <fgColor rgb="FFCCCCFF"/>
        <bgColor rgb="FFCCCCFF"/>
      </patternFill>
    </fill>
    <fill>
      <patternFill patternType="solid">
        <fgColor rgb="FFFFD965"/>
        <bgColor rgb="FFFFD965"/>
      </patternFill>
    </fill>
    <fill>
      <patternFill patternType="solid">
        <fgColor rgb="FFCC99FF"/>
        <bgColor rgb="FFCC99FF"/>
      </patternFill>
    </fill>
    <fill>
      <patternFill patternType="solid">
        <fgColor rgb="FFFF99CC"/>
        <bgColor rgb="FFFF99CC"/>
      </patternFill>
    </fill>
    <fill>
      <patternFill patternType="solid">
        <fgColor rgb="FFF4B083"/>
        <bgColor rgb="FFF4B083"/>
      </patternFill>
    </fill>
    <fill>
      <patternFill patternType="solid">
        <fgColor rgb="FFC55A11"/>
        <bgColor rgb="FFC55A11"/>
      </patternFill>
    </fill>
    <fill>
      <patternFill patternType="solid">
        <fgColor rgb="FF2E75B5"/>
        <bgColor rgb="FF2E75B5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006699"/>
        <bgColor rgb="FF006699"/>
      </patternFill>
    </fill>
    <fill>
      <patternFill patternType="solid">
        <fgColor theme="2" tint="-0.499984740745262"/>
        <bgColor rgb="FF3F3F3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D8D8D8"/>
      </patternFill>
    </fill>
    <fill>
      <patternFill patternType="solid">
        <fgColor theme="7" tint="0.59999389629810485"/>
        <bgColor rgb="FFA8D08D"/>
      </patternFill>
    </fill>
  </fills>
  <borders count="142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7B7B7B"/>
      </left>
      <right style="medium">
        <color rgb="FFBFBFBF"/>
      </right>
      <top style="thick">
        <color rgb="FF7B7B7B"/>
      </top>
      <bottom style="medium">
        <color rgb="FFBFBFBF"/>
      </bottom>
      <diagonal/>
    </border>
    <border>
      <left style="medium">
        <color rgb="FFBFBFBF"/>
      </left>
      <right style="thick">
        <color rgb="FF7B7B7B"/>
      </right>
      <top style="thick">
        <color rgb="FF7B7B7B"/>
      </top>
      <bottom style="medium">
        <color rgb="FFBFBFBF"/>
      </bottom>
      <diagonal/>
    </border>
    <border>
      <left style="thick">
        <color rgb="FF7B7B7B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rgb="FF7B7B7B"/>
      </right>
      <top style="medium">
        <color rgb="FFBFBFBF"/>
      </top>
      <bottom style="medium">
        <color rgb="FFBFBFBF"/>
      </bottom>
      <diagonal/>
    </border>
    <border>
      <left style="thick">
        <color rgb="FF7B7B7B"/>
      </left>
      <right/>
      <top style="medium">
        <color rgb="FFBFBFBF"/>
      </top>
      <bottom style="medium">
        <color rgb="FFBFBFBF"/>
      </bottom>
      <diagonal/>
    </border>
    <border>
      <left/>
      <right style="thick">
        <color rgb="FF7B7B7B"/>
      </right>
      <top style="medium">
        <color rgb="FFBFBFBF"/>
      </top>
      <bottom style="medium">
        <color rgb="FFBFBFB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thick">
        <color rgb="FF7B7B7B"/>
      </left>
      <right/>
      <top style="medium">
        <color rgb="FFBFBFBF"/>
      </top>
      <bottom style="thick">
        <color rgb="FF7B7B7B"/>
      </bottom>
      <diagonal/>
    </border>
    <border>
      <left/>
      <right style="thick">
        <color rgb="FF7B7B7B"/>
      </right>
      <top style="medium">
        <color rgb="FFBFBFBF"/>
      </top>
      <bottom style="thick">
        <color rgb="FF7B7B7B"/>
      </bottom>
      <diagonal/>
    </border>
    <border>
      <left style="medium">
        <color rgb="FFBF9000"/>
      </left>
      <right style="medium">
        <color rgb="FF996633"/>
      </right>
      <top style="medium">
        <color rgb="FF996633"/>
      </top>
      <bottom style="medium">
        <color rgb="FF996633"/>
      </bottom>
      <diagonal/>
    </border>
    <border>
      <left style="medium">
        <color rgb="FF996633"/>
      </left>
      <right style="medium">
        <color rgb="FF996633"/>
      </right>
      <top style="medium">
        <color rgb="FF996633"/>
      </top>
      <bottom style="medium">
        <color rgb="FF996633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BF9000"/>
      </left>
      <right style="medium">
        <color rgb="FFBF9000"/>
      </right>
      <top style="medium">
        <color rgb="FFBF9000"/>
      </top>
      <bottom style="medium">
        <color rgb="FFBF900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FF99CC"/>
      </left>
      <right style="medium">
        <color rgb="FFFF99CC"/>
      </right>
      <top style="medium">
        <color rgb="FFFF99CC"/>
      </top>
      <bottom style="medium">
        <color rgb="FFFF99CC"/>
      </bottom>
      <diagonal/>
    </border>
    <border>
      <left style="thin">
        <color rgb="FF833C0B"/>
      </left>
      <right/>
      <top style="thin">
        <color rgb="FF833C0B"/>
      </top>
      <bottom/>
      <diagonal/>
    </border>
    <border>
      <left/>
      <right/>
      <top style="thin">
        <color rgb="FF833C0B"/>
      </top>
      <bottom/>
      <diagonal/>
    </border>
    <border>
      <left/>
      <right style="thin">
        <color rgb="FF833C0B"/>
      </right>
      <top style="thin">
        <color rgb="FF833C0B"/>
      </top>
      <bottom/>
      <diagonal/>
    </border>
    <border>
      <left style="thin">
        <color rgb="FF833C0B"/>
      </left>
      <right/>
      <top/>
      <bottom/>
      <diagonal/>
    </border>
    <border>
      <left style="medium">
        <color rgb="FFC55A11"/>
      </left>
      <right style="medium">
        <color rgb="FFC55A11"/>
      </right>
      <top style="medium">
        <color rgb="FFC55A11"/>
      </top>
      <bottom style="medium">
        <color rgb="FFC55A11"/>
      </bottom>
      <diagonal/>
    </border>
    <border>
      <left/>
      <right style="thin">
        <color rgb="FF833C0B"/>
      </right>
      <top/>
      <bottom/>
      <diagonal/>
    </border>
    <border>
      <left style="medium">
        <color rgb="FFC55A11"/>
      </left>
      <right/>
      <top style="medium">
        <color rgb="FFC55A11"/>
      </top>
      <bottom style="medium">
        <color rgb="FFC55A11"/>
      </bottom>
      <diagonal/>
    </border>
    <border>
      <left/>
      <right style="medium">
        <color rgb="FFC55A11"/>
      </right>
      <top style="medium">
        <color rgb="FFC55A11"/>
      </top>
      <bottom style="medium">
        <color rgb="FFC55A11"/>
      </bottom>
      <diagonal/>
    </border>
    <border>
      <left style="thin">
        <color rgb="FF833C0B"/>
      </left>
      <right/>
      <top/>
      <bottom style="thin">
        <color rgb="FF833C0B"/>
      </bottom>
      <diagonal/>
    </border>
    <border>
      <left/>
      <right/>
      <top/>
      <bottom style="thin">
        <color rgb="FF833C0B"/>
      </bottom>
      <diagonal/>
    </border>
    <border>
      <left/>
      <right style="thin">
        <color rgb="FF833C0B"/>
      </right>
      <top/>
      <bottom style="thin">
        <color rgb="FF833C0B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3C0B"/>
      </left>
      <right style="medium">
        <color rgb="FF833C0B"/>
      </right>
      <top style="medium">
        <color rgb="FF833C0B"/>
      </top>
      <bottom style="medium">
        <color rgb="FF833C0B"/>
      </bottom>
      <diagonal/>
    </border>
    <border>
      <left style="medium">
        <color rgb="FF006699"/>
      </left>
      <right/>
      <top/>
      <bottom style="medium">
        <color rgb="FF006699"/>
      </bottom>
      <diagonal/>
    </border>
    <border>
      <left/>
      <right style="medium">
        <color rgb="FF006699"/>
      </right>
      <top/>
      <bottom style="medium">
        <color rgb="FF006699"/>
      </bottom>
      <diagonal/>
    </border>
    <border>
      <left style="medium">
        <color rgb="FFFF99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385623"/>
      </left>
      <right/>
      <top style="medium">
        <color rgb="FF385623"/>
      </top>
      <bottom/>
      <diagonal/>
    </border>
    <border>
      <left/>
      <right/>
      <top style="medium">
        <color rgb="FF385623"/>
      </top>
      <bottom/>
      <diagonal/>
    </border>
    <border>
      <left/>
      <right style="medium">
        <color rgb="FF385623"/>
      </right>
      <top style="medium">
        <color rgb="FF385623"/>
      </top>
      <bottom/>
      <diagonal/>
    </border>
    <border>
      <left style="medium">
        <color rgb="FFA8D08D"/>
      </left>
      <right style="medium">
        <color rgb="FFA8D08D"/>
      </right>
      <top style="medium">
        <color rgb="FFA8D08D"/>
      </top>
      <bottom style="medium">
        <color rgb="FFA8D08D"/>
      </bottom>
      <diagonal/>
    </border>
    <border>
      <left style="medium">
        <color rgb="FF006699"/>
      </left>
      <right/>
      <top/>
      <bottom/>
      <diagonal/>
    </border>
    <border>
      <left/>
      <right/>
      <top/>
      <bottom/>
      <diagonal/>
    </border>
    <border>
      <left style="medium">
        <color rgb="FF385623"/>
      </left>
      <right/>
      <top/>
      <bottom/>
      <diagonal/>
    </border>
    <border>
      <left/>
      <right style="medium">
        <color rgb="FF385623"/>
      </right>
      <top/>
      <bottom/>
      <diagonal/>
    </border>
    <border>
      <left style="medium">
        <color rgb="FF2F5496"/>
      </left>
      <right style="medium">
        <color rgb="FF2F5496"/>
      </right>
      <top/>
      <bottom style="medium">
        <color rgb="FF2F5496"/>
      </bottom>
      <diagonal/>
    </border>
    <border>
      <left style="medium">
        <color rgb="FF2F5496"/>
      </left>
      <right/>
      <top style="medium">
        <color rgb="FF2F5496"/>
      </top>
      <bottom style="medium">
        <color rgb="FF2F5496"/>
      </bottom>
      <diagonal/>
    </border>
    <border>
      <left/>
      <right style="medium">
        <color rgb="FF2F5496"/>
      </right>
      <top style="medium">
        <color rgb="FF2F5496"/>
      </top>
      <bottom style="medium">
        <color rgb="FF2F5496"/>
      </bottom>
      <diagonal/>
    </border>
    <border>
      <left style="medium">
        <color rgb="FF2F5496"/>
      </left>
      <right/>
      <top style="medium">
        <color rgb="FF2F5496"/>
      </top>
      <bottom/>
      <diagonal/>
    </border>
    <border>
      <left/>
      <right style="medium">
        <color rgb="FF2F5496"/>
      </right>
      <top style="medium">
        <color rgb="FF2F5496"/>
      </top>
      <bottom/>
      <diagonal/>
    </border>
    <border>
      <left style="medium">
        <color rgb="FF2F5496"/>
      </left>
      <right/>
      <top/>
      <bottom/>
      <diagonal/>
    </border>
    <border>
      <left/>
      <right style="medium">
        <color rgb="FF2F5496"/>
      </right>
      <top/>
      <bottom/>
      <diagonal/>
    </border>
    <border>
      <left style="medium">
        <color rgb="FF2F5496"/>
      </left>
      <right/>
      <top/>
      <bottom style="medium">
        <color rgb="FF2F5496"/>
      </bottom>
      <diagonal/>
    </border>
    <border>
      <left/>
      <right style="medium">
        <color rgb="FF2F5496"/>
      </right>
      <top/>
      <bottom style="medium">
        <color rgb="FF2F5496"/>
      </bottom>
      <diagonal/>
    </border>
    <border>
      <left style="medium">
        <color rgb="FF385623"/>
      </left>
      <right/>
      <top/>
      <bottom style="medium">
        <color rgb="FF385623"/>
      </bottom>
      <diagonal/>
    </border>
    <border>
      <left/>
      <right/>
      <top/>
      <bottom style="medium">
        <color rgb="FF385623"/>
      </bottom>
      <diagonal/>
    </border>
    <border>
      <left/>
      <right style="medium">
        <color rgb="FF385623"/>
      </right>
      <top/>
      <bottom style="medium">
        <color rgb="FF3856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A5A5A5"/>
      </left>
      <right style="medium">
        <color rgb="FFA5A5A5"/>
      </right>
      <top style="thick">
        <color rgb="FFA5A5A5"/>
      </top>
      <bottom style="medium">
        <color rgb="FFA5A5A5"/>
      </bottom>
      <diagonal/>
    </border>
    <border>
      <left style="medium">
        <color rgb="FFA5A5A5"/>
      </left>
      <right/>
      <top style="thick">
        <color rgb="FFA5A5A5"/>
      </top>
      <bottom style="medium">
        <color rgb="FFA5A5A5"/>
      </bottom>
      <diagonal/>
    </border>
    <border>
      <left/>
      <right/>
      <top style="thick">
        <color rgb="FFA5A5A5"/>
      </top>
      <bottom style="medium">
        <color rgb="FFA5A5A5"/>
      </bottom>
      <diagonal/>
    </border>
    <border>
      <left/>
      <right style="thick">
        <color rgb="FFA5A5A5"/>
      </right>
      <top style="thick">
        <color rgb="FFA5A5A5"/>
      </top>
      <bottom style="medium">
        <color rgb="FFA5A5A5"/>
      </bottom>
      <diagonal/>
    </border>
    <border>
      <left style="thick">
        <color rgb="FFA5A5A5"/>
      </left>
      <right/>
      <top style="thick">
        <color rgb="FFA5A5A5"/>
      </top>
      <bottom style="medium">
        <color rgb="FFA5A5A5"/>
      </bottom>
      <diagonal/>
    </border>
    <border>
      <left style="thick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 style="thick">
        <color rgb="FFA5A5A5"/>
      </right>
      <top style="medium">
        <color rgb="FFA5A5A5"/>
      </top>
      <bottom style="medium">
        <color rgb="FFA5A5A5"/>
      </bottom>
      <diagonal/>
    </border>
    <border>
      <left style="thick">
        <color rgb="FFA5A5A5"/>
      </left>
      <right style="thick">
        <color rgb="FFA5A5A5"/>
      </right>
      <top style="thick">
        <color rgb="FFA5A5A5"/>
      </top>
      <bottom style="medium">
        <color rgb="FFA5A5A5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ck">
        <color rgb="FFA5A5A5"/>
      </left>
      <right style="thick">
        <color rgb="FFA5A5A5"/>
      </right>
      <top style="medium">
        <color rgb="FFA5A5A5"/>
      </top>
      <bottom style="medium">
        <color rgb="FFA5A5A5"/>
      </bottom>
      <diagonal/>
    </border>
    <border>
      <left style="thick">
        <color rgb="FFA5A5A5"/>
      </left>
      <right style="thick">
        <color rgb="FFA5A5A5"/>
      </right>
      <top style="medium">
        <color rgb="FFA5A5A5"/>
      </top>
      <bottom style="thick">
        <color rgb="FFA5A5A5"/>
      </bottom>
      <diagonal/>
    </border>
    <border>
      <left/>
      <right style="medium">
        <color rgb="FFA5A5A5"/>
      </right>
      <top style="medium">
        <color rgb="FFA5A5A5"/>
      </top>
      <bottom style="thick">
        <color rgb="FFA5A5A5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thick">
        <color rgb="FFA5A5A5"/>
      </bottom>
      <diagonal/>
    </border>
    <border>
      <left style="medium">
        <color rgb="FFA5A5A5"/>
      </left>
      <right style="thick">
        <color rgb="FFA5A5A5"/>
      </right>
      <top style="medium">
        <color rgb="FFA5A5A5"/>
      </top>
      <bottom style="thick">
        <color rgb="FFA5A5A5"/>
      </bottom>
      <diagonal/>
    </border>
    <border>
      <left style="thick">
        <color rgb="FFA5A5A5"/>
      </left>
      <right style="medium">
        <color rgb="FFA5A5A5"/>
      </right>
      <top style="medium">
        <color rgb="FFA5A5A5"/>
      </top>
      <bottom style="thick">
        <color rgb="FFA5A5A5"/>
      </bottom>
      <diagonal/>
    </border>
    <border>
      <left style="thick">
        <color rgb="FFA5A5A5"/>
      </left>
      <right style="thick">
        <color rgb="FFA5A5A5"/>
      </right>
      <top/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/>
      <diagonal/>
    </border>
    <border>
      <left/>
      <right style="medium">
        <color rgb="FFA5A5A5"/>
      </right>
      <top style="thick">
        <color rgb="FFA5A5A5"/>
      </top>
      <bottom style="medium">
        <color rgb="FFA5A5A5"/>
      </bottom>
      <diagonal/>
    </border>
    <border>
      <left style="medium">
        <color rgb="FFA5A5A5"/>
      </left>
      <right style="medium">
        <color rgb="FFA5A5A5"/>
      </right>
      <top style="thick">
        <color rgb="FFA5A5A5"/>
      </top>
      <bottom style="medium">
        <color rgb="FFA5A5A5"/>
      </bottom>
      <diagonal/>
    </border>
    <border>
      <left style="thick">
        <color rgb="FF7F7F7F"/>
      </left>
      <right style="thick">
        <color rgb="FF7F7F7F"/>
      </right>
      <top/>
      <bottom/>
      <diagonal/>
    </border>
    <border>
      <left/>
      <right style="thick">
        <color rgb="FFA5A5A5"/>
      </right>
      <top style="medium">
        <color rgb="FFA5A5A5"/>
      </top>
      <bottom style="medium">
        <color rgb="FFA5A5A5"/>
      </bottom>
      <diagonal/>
    </border>
    <border>
      <left style="thick">
        <color rgb="FF7F7F7F"/>
      </left>
      <right style="thick">
        <color rgb="FF7F7F7F"/>
      </right>
      <top/>
      <bottom style="thick">
        <color rgb="FF7F7F7F"/>
      </bottom>
      <diagonal/>
    </border>
    <border>
      <left/>
      <right style="thick">
        <color rgb="FFA5A5A5"/>
      </right>
      <top style="medium">
        <color rgb="FFA5A5A5"/>
      </top>
      <bottom style="thick">
        <color rgb="FFA5A5A5"/>
      </bottom>
      <diagonal/>
    </border>
    <border>
      <left/>
      <right style="thick">
        <color rgb="FFA5A5A5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theme="9" tint="0.39994506668294322"/>
      </right>
      <top/>
      <bottom/>
      <diagonal/>
    </border>
    <border>
      <left/>
      <right style="medium">
        <color theme="9" tint="0.39994506668294322"/>
      </right>
      <top/>
      <bottom style="medium">
        <color theme="9" tint="0.39994506668294322"/>
      </bottom>
      <diagonal/>
    </border>
    <border>
      <left style="medium">
        <color rgb="FFA8D08D"/>
      </left>
      <right/>
      <top style="medium">
        <color rgb="FFA8D08D"/>
      </top>
      <bottom style="medium">
        <color rgb="FFA8D08D"/>
      </bottom>
      <diagonal/>
    </border>
    <border>
      <left/>
      <right style="medium">
        <color rgb="FFA8D08D"/>
      </right>
      <top style="medium">
        <color rgb="FFA8D08D"/>
      </top>
      <bottom style="medium">
        <color rgb="FFA8D08D"/>
      </bottom>
      <diagonal/>
    </border>
    <border>
      <left style="medium">
        <color theme="9" tint="0.39994506668294322"/>
      </left>
      <right style="medium">
        <color theme="9" tint="0.39991454817346722"/>
      </right>
      <top style="medium">
        <color rgb="FFA8D08D"/>
      </top>
      <bottom style="medium">
        <color theme="9" tint="0.39994506668294322"/>
      </bottom>
      <diagonal/>
    </border>
    <border>
      <left style="medium">
        <color theme="9" tint="0.39994506668294322"/>
      </left>
      <right style="medium">
        <color theme="9" tint="0.39991454817346722"/>
      </right>
      <top style="medium">
        <color rgb="FFA8D08D"/>
      </top>
      <bottom/>
      <diagonal/>
    </border>
    <border>
      <left style="medium">
        <color theme="9" tint="0.39994506668294322"/>
      </left>
      <right style="medium">
        <color theme="9" tint="0.39991454817346722"/>
      </right>
      <top/>
      <bottom/>
      <diagonal/>
    </border>
    <border>
      <left style="medium">
        <color theme="9" tint="0.39994506668294322"/>
      </left>
      <right style="medium">
        <color theme="9" tint="0.39991454817346722"/>
      </right>
      <top/>
      <bottom style="medium">
        <color theme="9" tint="0.39994506668294322"/>
      </bottom>
      <diagonal/>
    </border>
  </borders>
  <cellStyleXfs count="3">
    <xf numFmtId="0" fontId="0" fillId="0" borderId="0"/>
    <xf numFmtId="9" fontId="31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30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/>
    </xf>
    <xf numFmtId="166" fontId="1" fillId="0" borderId="1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6" borderId="2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10" fillId="8" borderId="25" xfId="0" applyFont="1" applyFill="1" applyBorder="1" applyAlignment="1">
      <alignment horizontal="center" vertical="center"/>
    </xf>
    <xf numFmtId="0" fontId="12" fillId="9" borderId="26" xfId="0" applyFont="1" applyFill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9" fontId="1" fillId="0" borderId="0" xfId="0" applyNumberFormat="1" applyFont="1" applyAlignment="1">
      <alignment horizontal="center" vertical="center"/>
    </xf>
    <xf numFmtId="0" fontId="12" fillId="10" borderId="2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/>
    </xf>
    <xf numFmtId="166" fontId="7" fillId="2" borderId="10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3" fillId="11" borderId="32" xfId="0" applyFont="1" applyFill="1" applyBorder="1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3" fillId="11" borderId="32" xfId="0" applyFont="1" applyFill="1" applyBorder="1" applyAlignment="1">
      <alignment horizontal="center" vertical="center"/>
    </xf>
    <xf numFmtId="0" fontId="14" fillId="0" borderId="36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5" fillId="12" borderId="42" xfId="0" applyFont="1" applyFill="1" applyBorder="1" applyAlignment="1">
      <alignment horizontal="center" vertical="center"/>
    </xf>
    <xf numFmtId="0" fontId="16" fillId="14" borderId="49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left" vertical="center"/>
    </xf>
    <xf numFmtId="167" fontId="1" fillId="0" borderId="53" xfId="0" applyNumberFormat="1" applyFont="1" applyBorder="1" applyAlignment="1">
      <alignment horizontal="right" vertical="center" wrapText="1"/>
    </xf>
    <xf numFmtId="0" fontId="7" fillId="13" borderId="54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vertical="center"/>
    </xf>
    <xf numFmtId="0" fontId="1" fillId="13" borderId="58" xfId="0" applyFont="1" applyFill="1" applyBorder="1" applyAlignment="1">
      <alignment vertical="center"/>
    </xf>
    <xf numFmtId="0" fontId="1" fillId="13" borderId="59" xfId="0" applyFont="1" applyFill="1" applyBorder="1" applyAlignment="1">
      <alignment vertical="center"/>
    </xf>
    <xf numFmtId="0" fontId="1" fillId="13" borderId="61" xfId="0" applyFont="1" applyFill="1" applyBorder="1" applyAlignment="1">
      <alignment vertical="center"/>
    </xf>
    <xf numFmtId="0" fontId="1" fillId="0" borderId="63" xfId="0" applyFont="1" applyBorder="1" applyAlignment="1">
      <alignment horizontal="left" vertical="center"/>
    </xf>
    <xf numFmtId="0" fontId="1" fillId="0" borderId="64" xfId="0" applyFont="1" applyBorder="1" applyAlignment="1">
      <alignment horizontal="center" vertical="center"/>
    </xf>
    <xf numFmtId="167" fontId="1" fillId="0" borderId="6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8" fontId="20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10" fontId="21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165" fontId="7" fillId="5" borderId="2" xfId="0" applyNumberFormat="1" applyFont="1" applyFill="1" applyBorder="1" applyAlignment="1">
      <alignment horizontal="left" vertical="center"/>
    </xf>
    <xf numFmtId="165" fontId="6" fillId="5" borderId="2" xfId="0" applyNumberFormat="1" applyFont="1" applyFill="1" applyBorder="1" applyAlignment="1">
      <alignment horizontal="left" vertical="center"/>
    </xf>
    <xf numFmtId="4" fontId="1" fillId="5" borderId="2" xfId="0" applyNumberFormat="1" applyFont="1" applyFill="1" applyBorder="1" applyAlignment="1">
      <alignment horizontal="center" vertical="center"/>
    </xf>
    <xf numFmtId="9" fontId="1" fillId="15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9" fontId="1" fillId="5" borderId="2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0" fontId="7" fillId="15" borderId="66" xfId="0" applyFont="1" applyFill="1" applyBorder="1" applyAlignment="1">
      <alignment vertical="center"/>
    </xf>
    <xf numFmtId="0" fontId="1" fillId="0" borderId="66" xfId="0" applyFont="1" applyBorder="1" applyAlignment="1">
      <alignment vertical="center"/>
    </xf>
    <xf numFmtId="3" fontId="1" fillId="0" borderId="66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9" fontId="22" fillId="15" borderId="66" xfId="0" applyNumberFormat="1" applyFont="1" applyFill="1" applyBorder="1" applyAlignment="1">
      <alignment horizontal="left" vertical="center"/>
    </xf>
    <xf numFmtId="3" fontId="1" fillId="15" borderId="66" xfId="0" applyNumberFormat="1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7" fillId="0" borderId="67" xfId="0" applyFont="1" applyBorder="1" applyAlignment="1">
      <alignment horizontal="center" vertical="center"/>
    </xf>
    <xf numFmtId="0" fontId="1" fillId="8" borderId="68" xfId="0" applyFont="1" applyFill="1" applyBorder="1" applyAlignment="1">
      <alignment horizontal="center" vertical="center"/>
    </xf>
    <xf numFmtId="9" fontId="1" fillId="6" borderId="68" xfId="0" applyNumberFormat="1" applyFont="1" applyFill="1" applyBorder="1" applyAlignment="1">
      <alignment horizontal="center" vertical="center"/>
    </xf>
    <xf numFmtId="0" fontId="1" fillId="0" borderId="69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9" fontId="1" fillId="9" borderId="68" xfId="0" applyNumberFormat="1" applyFont="1" applyFill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11" borderId="72" xfId="0" applyFont="1" applyFill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2" fillId="16" borderId="73" xfId="0" applyFont="1" applyFill="1" applyBorder="1" applyAlignment="1">
      <alignment horizontal="center" vertical="center" wrapText="1"/>
    </xf>
    <xf numFmtId="0" fontId="2" fillId="16" borderId="66" xfId="0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1" fillId="0" borderId="75" xfId="0" applyFont="1" applyBorder="1" applyAlignment="1">
      <alignment vertical="center"/>
    </xf>
    <xf numFmtId="0" fontId="2" fillId="16" borderId="76" xfId="0" applyFont="1" applyFill="1" applyBorder="1" applyAlignment="1">
      <alignment horizontal="center" vertical="center" wrapText="1"/>
    </xf>
    <xf numFmtId="166" fontId="2" fillId="0" borderId="77" xfId="0" applyNumberFormat="1" applyFont="1" applyBorder="1" applyAlignment="1">
      <alignment horizontal="center" vertical="center" wrapText="1"/>
    </xf>
    <xf numFmtId="0" fontId="1" fillId="5" borderId="78" xfId="0" applyFont="1" applyFill="1" applyBorder="1" applyAlignment="1">
      <alignment horizontal="center" vertical="center"/>
    </xf>
    <xf numFmtId="4" fontId="1" fillId="5" borderId="79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3" fontId="2" fillId="16" borderId="76" xfId="0" applyNumberFormat="1" applyFont="1" applyFill="1" applyBorder="1" applyAlignment="1">
      <alignment horizontal="center" vertical="center" wrapText="1"/>
    </xf>
    <xf numFmtId="0" fontId="1" fillId="0" borderId="80" xfId="0" applyFont="1" applyBorder="1" applyAlignment="1">
      <alignment vertical="center"/>
    </xf>
    <xf numFmtId="0" fontId="1" fillId="0" borderId="81" xfId="0" applyFont="1" applyBorder="1" applyAlignment="1">
      <alignment vertical="center"/>
    </xf>
    <xf numFmtId="0" fontId="1" fillId="0" borderId="0" xfId="0" applyFont="1"/>
    <xf numFmtId="4" fontId="1" fillId="3" borderId="83" xfId="0" applyNumberFormat="1" applyFont="1" applyFill="1" applyBorder="1" applyAlignment="1">
      <alignment vertical="center"/>
    </xf>
    <xf numFmtId="17" fontId="1" fillId="0" borderId="66" xfId="0" applyNumberFormat="1" applyFont="1" applyBorder="1" applyAlignment="1">
      <alignment vertical="center"/>
    </xf>
    <xf numFmtId="4" fontId="1" fillId="0" borderId="0" xfId="0" applyNumberFormat="1" applyFont="1"/>
    <xf numFmtId="4" fontId="1" fillId="3" borderId="84" xfId="0" applyNumberFormat="1" applyFont="1" applyFill="1" applyBorder="1" applyAlignment="1">
      <alignment vertical="center"/>
    </xf>
    <xf numFmtId="9" fontId="1" fillId="0" borderId="66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7" fillId="11" borderId="84" xfId="0" applyFont="1" applyFill="1" applyBorder="1" applyAlignment="1">
      <alignment vertical="center"/>
    </xf>
    <xf numFmtId="3" fontId="2" fillId="16" borderId="66" xfId="0" applyNumberFormat="1" applyFont="1" applyFill="1" applyBorder="1" applyAlignment="1">
      <alignment horizontal="center" vertical="center" wrapText="1"/>
    </xf>
    <xf numFmtId="10" fontId="1" fillId="0" borderId="66" xfId="0" applyNumberFormat="1" applyFont="1" applyBorder="1" applyAlignment="1">
      <alignment vertical="center"/>
    </xf>
    <xf numFmtId="4" fontId="9" fillId="6" borderId="84" xfId="0" applyNumberFormat="1" applyFont="1" applyFill="1" applyBorder="1" applyAlignment="1">
      <alignment horizontal="right" vertical="center"/>
    </xf>
    <xf numFmtId="4" fontId="1" fillId="8" borderId="84" xfId="0" applyNumberFormat="1" applyFont="1" applyFill="1" applyBorder="1" applyAlignment="1">
      <alignment vertical="center"/>
    </xf>
    <xf numFmtId="0" fontId="1" fillId="0" borderId="39" xfId="0" applyFont="1" applyBorder="1" applyAlignment="1">
      <alignment vertical="center"/>
    </xf>
    <xf numFmtId="4" fontId="1" fillId="9" borderId="84" xfId="0" applyNumberFormat="1" applyFont="1" applyFill="1" applyBorder="1" applyAlignment="1">
      <alignment vertical="center"/>
    </xf>
    <xf numFmtId="4" fontId="1" fillId="10" borderId="84" xfId="0" applyNumberFormat="1" applyFont="1" applyFill="1" applyBorder="1" applyAlignment="1">
      <alignment vertical="center"/>
    </xf>
    <xf numFmtId="0" fontId="7" fillId="0" borderId="85" xfId="0" applyFont="1" applyBorder="1" applyAlignment="1">
      <alignment vertical="center"/>
    </xf>
    <xf numFmtId="0" fontId="1" fillId="0" borderId="86" xfId="0" applyFont="1" applyBorder="1" applyAlignment="1">
      <alignment vertical="center"/>
    </xf>
    <xf numFmtId="0" fontId="1" fillId="0" borderId="87" xfId="0" applyFont="1" applyBorder="1" applyAlignment="1">
      <alignment vertical="center"/>
    </xf>
    <xf numFmtId="4" fontId="1" fillId="11" borderId="84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" fillId="11" borderId="88" xfId="0" applyNumberFormat="1" applyFont="1" applyFill="1" applyBorder="1" applyAlignment="1">
      <alignment vertical="center"/>
    </xf>
    <xf numFmtId="4" fontId="1" fillId="11" borderId="89" xfId="0" applyNumberFormat="1" applyFont="1" applyFill="1" applyBorder="1" applyAlignment="1">
      <alignment vertical="center"/>
    </xf>
    <xf numFmtId="0" fontId="1" fillId="17" borderId="90" xfId="0" applyFont="1" applyFill="1" applyBorder="1" applyAlignment="1">
      <alignment vertical="center"/>
    </xf>
    <xf numFmtId="4" fontId="1" fillId="18" borderId="84" xfId="0" applyNumberFormat="1" applyFont="1" applyFill="1" applyBorder="1" applyAlignment="1">
      <alignment vertical="center"/>
    </xf>
    <xf numFmtId="4" fontId="1" fillId="15" borderId="84" xfId="0" applyNumberFormat="1" applyFont="1" applyFill="1" applyBorder="1" applyAlignment="1">
      <alignment horizontal="right" vertical="center"/>
    </xf>
    <xf numFmtId="0" fontId="1" fillId="17" borderId="10" xfId="0" applyFont="1" applyFill="1" applyBorder="1" applyAlignment="1">
      <alignment vertical="center"/>
    </xf>
    <xf numFmtId="0" fontId="7" fillId="0" borderId="67" xfId="0" applyFont="1" applyBorder="1" applyAlignment="1">
      <alignment vertical="center"/>
    </xf>
    <xf numFmtId="4" fontId="1" fillId="0" borderId="71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4" fontId="1" fillId="19" borderId="84" xfId="0" applyNumberFormat="1" applyFont="1" applyFill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1" fillId="0" borderId="91" xfId="0" applyFont="1" applyBorder="1" applyAlignment="1">
      <alignment horizontal="left"/>
    </xf>
    <xf numFmtId="0" fontId="1" fillId="0" borderId="92" xfId="0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0" fontId="1" fillId="0" borderId="93" xfId="0" applyFont="1" applyBorder="1" applyAlignment="1">
      <alignment vertical="center"/>
    </xf>
    <xf numFmtId="4" fontId="1" fillId="0" borderId="94" xfId="0" applyNumberFormat="1" applyFont="1" applyBorder="1" applyAlignment="1">
      <alignment vertical="center"/>
    </xf>
    <xf numFmtId="4" fontId="1" fillId="19" borderId="90" xfId="0" applyNumberFormat="1" applyFont="1" applyFill="1" applyBorder="1" applyAlignment="1">
      <alignment vertical="center"/>
    </xf>
    <xf numFmtId="0" fontId="1" fillId="0" borderId="95" xfId="0" applyFont="1" applyBorder="1" applyAlignment="1">
      <alignment vertical="center"/>
    </xf>
    <xf numFmtId="4" fontId="1" fillId="0" borderId="81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6" xfId="0" applyFont="1" applyBorder="1" applyAlignment="1">
      <alignment vertical="center"/>
    </xf>
    <xf numFmtId="4" fontId="1" fillId="0" borderId="4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4" fontId="1" fillId="3" borderId="90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1" fillId="0" borderId="99" xfId="0" applyFont="1" applyBorder="1" applyAlignment="1">
      <alignment vertical="center"/>
    </xf>
    <xf numFmtId="4" fontId="1" fillId="0" borderId="100" xfId="0" applyNumberFormat="1" applyFont="1" applyBorder="1" applyAlignment="1">
      <alignment vertical="center"/>
    </xf>
    <xf numFmtId="0" fontId="7" fillId="0" borderId="98" xfId="0" applyFont="1" applyBorder="1" applyAlignment="1">
      <alignment vertical="center"/>
    </xf>
    <xf numFmtId="4" fontId="7" fillId="18" borderId="101" xfId="0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4" fontId="1" fillId="19" borderId="68" xfId="0" applyNumberFormat="1" applyFont="1" applyFill="1" applyBorder="1" applyAlignment="1">
      <alignment vertical="center"/>
    </xf>
    <xf numFmtId="0" fontId="7" fillId="0" borderId="78" xfId="0" applyFont="1" applyBorder="1" applyAlignment="1">
      <alignment vertical="center"/>
    </xf>
    <xf numFmtId="4" fontId="1" fillId="18" borderId="79" xfId="0" applyNumberFormat="1" applyFont="1" applyFill="1" applyBorder="1" applyAlignment="1">
      <alignment vertical="center"/>
    </xf>
    <xf numFmtId="0" fontId="1" fillId="0" borderId="102" xfId="0" applyFont="1" applyBorder="1" applyAlignment="1">
      <alignment vertical="center"/>
    </xf>
    <xf numFmtId="0" fontId="7" fillId="0" borderId="81" xfId="0" applyFont="1" applyBorder="1" applyAlignment="1">
      <alignment vertical="center"/>
    </xf>
    <xf numFmtId="0" fontId="7" fillId="0" borderId="104" xfId="0" applyFont="1" applyBorder="1" applyAlignment="1">
      <alignment vertical="center"/>
    </xf>
    <xf numFmtId="0" fontId="1" fillId="7" borderId="105" xfId="0" applyFont="1" applyFill="1" applyBorder="1" applyAlignment="1">
      <alignment vertical="center" wrapText="1"/>
    </xf>
    <xf numFmtId="0" fontId="25" fillId="7" borderId="110" xfId="0" applyFont="1" applyFill="1" applyBorder="1" applyAlignment="1">
      <alignment horizontal="center" vertical="center" wrapText="1"/>
    </xf>
    <xf numFmtId="0" fontId="26" fillId="7" borderId="111" xfId="0" applyFont="1" applyFill="1" applyBorder="1" applyAlignment="1">
      <alignment horizontal="center" vertical="center" wrapText="1"/>
    </xf>
    <xf numFmtId="0" fontId="26" fillId="7" borderId="112" xfId="0" applyFont="1" applyFill="1" applyBorder="1" applyAlignment="1">
      <alignment horizontal="center" vertical="center" wrapText="1"/>
    </xf>
    <xf numFmtId="0" fontId="18" fillId="7" borderId="110" xfId="0" applyFont="1" applyFill="1" applyBorder="1" applyAlignment="1">
      <alignment horizontal="center" wrapText="1"/>
    </xf>
    <xf numFmtId="0" fontId="18" fillId="7" borderId="111" xfId="0" applyFont="1" applyFill="1" applyBorder="1" applyAlignment="1">
      <alignment horizontal="center" wrapText="1"/>
    </xf>
    <xf numFmtId="0" fontId="18" fillId="7" borderId="112" xfId="0" applyFont="1" applyFill="1" applyBorder="1" applyAlignment="1">
      <alignment horizontal="center" wrapText="1"/>
    </xf>
    <xf numFmtId="0" fontId="25" fillId="7" borderId="111" xfId="0" applyFont="1" applyFill="1" applyBorder="1" applyAlignment="1">
      <alignment horizontal="center" vertical="center" wrapText="1"/>
    </xf>
    <xf numFmtId="0" fontId="1" fillId="0" borderId="111" xfId="0" applyFont="1" applyBorder="1" applyAlignment="1">
      <alignment vertical="center"/>
    </xf>
    <xf numFmtId="0" fontId="1" fillId="0" borderId="113" xfId="0" applyFont="1" applyBorder="1" applyAlignment="1">
      <alignment vertical="center"/>
    </xf>
    <xf numFmtId="0" fontId="7" fillId="7" borderId="114" xfId="0" applyFont="1" applyFill="1" applyBorder="1" applyAlignment="1">
      <alignment horizontal="center" wrapText="1"/>
    </xf>
    <xf numFmtId="0" fontId="1" fillId="0" borderId="111" xfId="0" applyFont="1" applyBorder="1" applyAlignment="1">
      <alignment wrapText="1"/>
    </xf>
    <xf numFmtId="0" fontId="1" fillId="0" borderId="112" xfId="0" applyFont="1" applyBorder="1" applyAlignment="1">
      <alignment wrapText="1"/>
    </xf>
    <xf numFmtId="17" fontId="1" fillId="0" borderId="113" xfId="0" applyNumberFormat="1" applyFont="1" applyBorder="1" applyAlignment="1">
      <alignment vertical="center"/>
    </xf>
    <xf numFmtId="0" fontId="1" fillId="0" borderId="110" xfId="0" applyFont="1" applyBorder="1" applyAlignment="1">
      <alignment wrapText="1"/>
    </xf>
    <xf numFmtId="0" fontId="7" fillId="7" borderId="111" xfId="0" applyFont="1" applyFill="1" applyBorder="1" applyAlignment="1">
      <alignment horizontal="center" wrapText="1"/>
    </xf>
    <xf numFmtId="0" fontId="1" fillId="0" borderId="115" xfId="0" applyFont="1" applyBorder="1" applyAlignment="1">
      <alignment vertical="center"/>
    </xf>
    <xf numFmtId="0" fontId="1" fillId="0" borderId="116" xfId="0" applyFont="1" applyBorder="1" applyAlignment="1">
      <alignment vertical="center"/>
    </xf>
    <xf numFmtId="0" fontId="7" fillId="7" borderId="117" xfId="0" applyFont="1" applyFill="1" applyBorder="1" applyAlignment="1">
      <alignment horizontal="center" wrapText="1"/>
    </xf>
    <xf numFmtId="0" fontId="1" fillId="0" borderId="118" xfId="0" applyFont="1" applyBorder="1" applyAlignment="1">
      <alignment wrapText="1"/>
    </xf>
    <xf numFmtId="0" fontId="1" fillId="0" borderId="119" xfId="0" applyFont="1" applyBorder="1" applyAlignment="1">
      <alignment wrapText="1"/>
    </xf>
    <xf numFmtId="0" fontId="1" fillId="0" borderId="120" xfId="0" applyFont="1" applyBorder="1" applyAlignment="1">
      <alignment wrapText="1"/>
    </xf>
    <xf numFmtId="0" fontId="1" fillId="0" borderId="121" xfId="0" applyFont="1" applyBorder="1" applyAlignment="1">
      <alignment vertical="center"/>
    </xf>
    <xf numFmtId="17" fontId="7" fillId="0" borderId="108" xfId="0" applyNumberFormat="1" applyFont="1" applyBorder="1" applyAlignment="1">
      <alignment vertical="center"/>
    </xf>
    <xf numFmtId="0" fontId="7" fillId="7" borderId="123" xfId="0" applyFont="1" applyFill="1" applyBorder="1" applyAlignment="1">
      <alignment horizontal="center" wrapText="1"/>
    </xf>
    <xf numFmtId="0" fontId="1" fillId="0" borderId="124" xfId="0" applyFont="1" applyBorder="1" applyAlignment="1">
      <alignment wrapText="1"/>
    </xf>
    <xf numFmtId="17" fontId="7" fillId="0" borderId="113" xfId="0" applyNumberFormat="1" applyFont="1" applyBorder="1" applyAlignment="1">
      <alignment vertical="center"/>
    </xf>
    <xf numFmtId="17" fontId="7" fillId="0" borderId="126" xfId="0" applyNumberFormat="1" applyFont="1" applyBorder="1" applyAlignment="1">
      <alignment vertical="center"/>
    </xf>
    <xf numFmtId="17" fontId="7" fillId="0" borderId="115" xfId="0" applyNumberFormat="1" applyFont="1" applyBorder="1" applyAlignment="1">
      <alignment vertical="center"/>
    </xf>
    <xf numFmtId="17" fontId="7" fillId="0" borderId="128" xfId="0" applyNumberFormat="1" applyFont="1" applyBorder="1" applyAlignment="1">
      <alignment vertical="center"/>
    </xf>
    <xf numFmtId="17" fontId="7" fillId="0" borderId="116" xfId="0" applyNumberFormat="1" applyFont="1" applyBorder="1" applyAlignment="1">
      <alignment vertical="center"/>
    </xf>
    <xf numFmtId="17" fontId="7" fillId="0" borderId="129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165" fontId="6" fillId="5" borderId="133" xfId="0" applyNumberFormat="1" applyFont="1" applyFill="1" applyBorder="1" applyAlignment="1">
      <alignment horizontal="left" vertical="center"/>
    </xf>
    <xf numFmtId="167" fontId="6" fillId="5" borderId="2" xfId="0" applyNumberFormat="1" applyFont="1" applyFill="1" applyBorder="1" applyAlignment="1">
      <alignment horizontal="center" vertical="center"/>
    </xf>
    <xf numFmtId="166" fontId="6" fillId="5" borderId="2" xfId="0" applyNumberFormat="1" applyFont="1" applyFill="1" applyBorder="1" applyAlignment="1">
      <alignment horizontal="center" vertical="center"/>
    </xf>
    <xf numFmtId="167" fontId="21" fillId="0" borderId="0" xfId="0" applyNumberFormat="1" applyFont="1" applyAlignment="1">
      <alignment vertical="center"/>
    </xf>
    <xf numFmtId="17" fontId="21" fillId="0" borderId="0" xfId="0" applyNumberFormat="1" applyFont="1" applyAlignment="1">
      <alignment vertical="center"/>
    </xf>
    <xf numFmtId="168" fontId="21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65" fontId="6" fillId="0" borderId="2" xfId="0" applyNumberFormat="1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9" fontId="1" fillId="0" borderId="22" xfId="0" applyNumberFormat="1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9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9" fontId="6" fillId="0" borderId="49" xfId="0" applyNumberFormat="1" applyFont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vertical="center"/>
      <protection locked="0"/>
    </xf>
    <xf numFmtId="166" fontId="1" fillId="7" borderId="24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66" fontId="7" fillId="2" borderId="10" xfId="0" applyNumberFormat="1" applyFont="1" applyFill="1" applyBorder="1" applyAlignment="1" applyProtection="1">
      <alignment horizontal="center" vertical="center"/>
      <protection hidden="1"/>
    </xf>
    <xf numFmtId="166" fontId="1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7" fillId="20" borderId="10" xfId="0" applyFont="1" applyFill="1" applyBorder="1" applyAlignment="1">
      <alignment horizontal="left" vertical="center"/>
    </xf>
    <xf numFmtId="166" fontId="7" fillId="20" borderId="10" xfId="0" applyNumberFormat="1" applyFont="1" applyFill="1" applyBorder="1" applyAlignment="1" applyProtection="1">
      <alignment horizontal="center" vertical="center"/>
      <protection hidden="1"/>
    </xf>
    <xf numFmtId="166" fontId="7" fillId="20" borderId="10" xfId="0" applyNumberFormat="1" applyFont="1" applyFill="1" applyBorder="1" applyAlignment="1">
      <alignment horizontal="center" vertical="center"/>
    </xf>
    <xf numFmtId="9" fontId="0" fillId="0" borderId="0" xfId="1" applyFont="1" applyAlignment="1">
      <alignment vertical="center"/>
    </xf>
    <xf numFmtId="0" fontId="7" fillId="0" borderId="0" xfId="0" applyFont="1" applyAlignment="1">
      <alignment horizontal="left" vertical="center" indent="6"/>
    </xf>
    <xf numFmtId="4" fontId="0" fillId="0" borderId="0" xfId="0" applyNumberFormat="1" applyAlignment="1">
      <alignment vertical="center"/>
    </xf>
    <xf numFmtId="169" fontId="1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vertical="center"/>
    </xf>
    <xf numFmtId="43" fontId="1" fillId="0" borderId="0" xfId="0" applyNumberFormat="1" applyFont="1" applyAlignment="1">
      <alignment vertical="center"/>
    </xf>
    <xf numFmtId="168" fontId="0" fillId="0" borderId="0" xfId="1" applyNumberFormat="1" applyFont="1" applyAlignment="1">
      <alignment vertical="center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>
      <alignment vertical="center"/>
    </xf>
    <xf numFmtId="9" fontId="21" fillId="0" borderId="0" xfId="1" applyFont="1" applyAlignment="1">
      <alignment vertical="center"/>
    </xf>
    <xf numFmtId="166" fontId="4" fillId="0" borderId="0" xfId="0" applyNumberFormat="1" applyFont="1" applyAlignment="1" applyProtection="1">
      <alignment vertical="center"/>
      <protection hidden="1"/>
    </xf>
    <xf numFmtId="0" fontId="1" fillId="0" borderId="84" xfId="0" applyFont="1" applyBorder="1" applyAlignment="1">
      <alignment vertical="center"/>
    </xf>
    <xf numFmtId="43" fontId="1" fillId="0" borderId="0" xfId="2" applyFont="1" applyAlignment="1" applyProtection="1">
      <alignment horizontal="center" vertical="center"/>
      <protection hidden="1"/>
    </xf>
    <xf numFmtId="43" fontId="1" fillId="0" borderId="0" xfId="2" applyFont="1" applyAlignment="1">
      <alignment horizontal="center" vertical="center"/>
    </xf>
    <xf numFmtId="43" fontId="1" fillId="7" borderId="24" xfId="2" applyFont="1" applyFill="1" applyBorder="1" applyAlignment="1" applyProtection="1">
      <alignment vertical="center"/>
      <protection locked="0"/>
    </xf>
    <xf numFmtId="43" fontId="1" fillId="0" borderId="0" xfId="2" applyFont="1" applyAlignment="1" applyProtection="1">
      <alignment vertical="center"/>
      <protection hidden="1"/>
    </xf>
    <xf numFmtId="43" fontId="7" fillId="2" borderId="10" xfId="2" applyFont="1" applyFill="1" applyBorder="1" applyAlignment="1" applyProtection="1">
      <alignment horizontal="center" vertical="center"/>
      <protection hidden="1"/>
    </xf>
    <xf numFmtId="10" fontId="0" fillId="0" borderId="0" xfId="1" applyNumberFormat="1" applyFont="1" applyAlignment="1">
      <alignment vertical="center"/>
    </xf>
    <xf numFmtId="43" fontId="0" fillId="0" borderId="0" xfId="0" applyNumberFormat="1" applyAlignment="1">
      <alignment vertical="center"/>
    </xf>
    <xf numFmtId="0" fontId="34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10" fontId="17" fillId="0" borderId="0" xfId="0" applyNumberFormat="1" applyFont="1" applyAlignment="1">
      <alignment horizontal="right" vertical="center"/>
    </xf>
    <xf numFmtId="167" fontId="6" fillId="21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4" xfId="0" applyFont="1" applyBorder="1" applyAlignment="1">
      <alignment vertical="center"/>
    </xf>
    <xf numFmtId="0" fontId="2" fillId="0" borderId="135" xfId="0" applyFont="1" applyBorder="1" applyAlignment="1">
      <alignment vertical="center"/>
    </xf>
    <xf numFmtId="0" fontId="16" fillId="22" borderId="49" xfId="0" applyFont="1" applyFill="1" applyBorder="1" applyAlignment="1">
      <alignment horizontal="center" vertical="center"/>
    </xf>
    <xf numFmtId="9" fontId="6" fillId="23" borderId="49" xfId="0" applyNumberFormat="1" applyFont="1" applyFill="1" applyBorder="1" applyAlignment="1" applyProtection="1">
      <alignment horizontal="center" vertical="center"/>
      <protection locked="0"/>
    </xf>
    <xf numFmtId="0" fontId="2" fillId="0" borderId="139" xfId="0" applyFont="1" applyBorder="1" applyAlignment="1">
      <alignment horizontal="left" vertical="center"/>
    </xf>
    <xf numFmtId="0" fontId="2" fillId="0" borderId="140" xfId="0" applyFont="1" applyBorder="1" applyAlignment="1">
      <alignment horizontal="left" vertical="center"/>
    </xf>
    <xf numFmtId="0" fontId="2" fillId="0" borderId="141" xfId="0" applyFont="1" applyBorder="1" applyAlignment="1">
      <alignment horizontal="left" vertical="center"/>
    </xf>
    <xf numFmtId="0" fontId="2" fillId="0" borderId="138" xfId="0" applyFont="1" applyBorder="1" applyAlignment="1">
      <alignment horizontal="left" vertical="center"/>
    </xf>
    <xf numFmtId="0" fontId="6" fillId="0" borderId="42" xfId="0" applyFont="1" applyBorder="1" applyAlignment="1" applyProtection="1">
      <alignment horizontal="left" vertical="center"/>
      <protection locked="0"/>
    </xf>
    <xf numFmtId="167" fontId="6" fillId="24" borderId="2" xfId="0" applyNumberFormat="1" applyFont="1" applyFill="1" applyBorder="1" applyAlignment="1">
      <alignment horizontal="center" vertical="center"/>
    </xf>
    <xf numFmtId="166" fontId="6" fillId="24" borderId="2" xfId="0" applyNumberFormat="1" applyFont="1" applyFill="1" applyBorder="1" applyAlignment="1">
      <alignment horizontal="center" vertical="center"/>
    </xf>
    <xf numFmtId="3" fontId="1" fillId="25" borderId="66" xfId="0" applyNumberFormat="1" applyFont="1" applyFill="1" applyBorder="1" applyAlignment="1">
      <alignment vertical="center"/>
    </xf>
    <xf numFmtId="4" fontId="1" fillId="24" borderId="2" xfId="0" applyNumberFormat="1" applyFont="1" applyFill="1" applyBorder="1" applyAlignment="1">
      <alignment horizontal="center" vertical="center"/>
    </xf>
    <xf numFmtId="0" fontId="13" fillId="11" borderId="34" xfId="0" applyFont="1" applyFill="1" applyBorder="1" applyAlignment="1">
      <alignment horizontal="left" vertical="center"/>
    </xf>
    <xf numFmtId="0" fontId="13" fillId="11" borderId="35" xfId="0" applyFont="1" applyFill="1" applyBorder="1" applyAlignment="1">
      <alignment horizontal="left" vertical="center"/>
    </xf>
    <xf numFmtId="0" fontId="1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4" fillId="0" borderId="51" xfId="0" applyFont="1" applyBorder="1" applyAlignment="1">
      <alignment vertical="center" wrapText="1"/>
    </xf>
    <xf numFmtId="9" fontId="1" fillId="0" borderId="55" xfId="0" applyNumberFormat="1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" fillId="0" borderId="55" xfId="0" applyFont="1" applyBorder="1" applyAlignment="1" applyProtection="1">
      <alignment horizontal="left" vertical="center"/>
      <protection locked="0"/>
    </xf>
    <xf numFmtId="0" fontId="17" fillId="0" borderId="55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7" fillId="4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4" fillId="5" borderId="16" xfId="0" applyFont="1" applyFill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6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16" fillId="14" borderId="136" xfId="0" applyFont="1" applyFill="1" applyBorder="1" applyAlignment="1">
      <alignment horizontal="center" vertical="center"/>
    </xf>
    <xf numFmtId="0" fontId="16" fillId="14" borderId="137" xfId="0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9" fillId="13" borderId="43" xfId="0" applyFont="1" applyFill="1" applyBorder="1" applyAlignment="1">
      <alignment horizontal="center" vertical="center"/>
    </xf>
    <xf numFmtId="0" fontId="5" fillId="0" borderId="44" xfId="0" applyFont="1" applyBorder="1" applyAlignment="1">
      <alignment vertical="center"/>
    </xf>
    <xf numFmtId="0" fontId="18" fillId="7" borderId="106" xfId="0" applyFont="1" applyFill="1" applyBorder="1" applyAlignment="1">
      <alignment horizontal="center" vertical="center" wrapText="1"/>
    </xf>
    <xf numFmtId="0" fontId="5" fillId="0" borderId="107" xfId="0" applyFont="1" applyBorder="1" applyAlignment="1">
      <alignment vertical="center"/>
    </xf>
    <xf numFmtId="0" fontId="5" fillId="0" borderId="108" xfId="0" applyFont="1" applyBorder="1" applyAlignment="1">
      <alignment vertical="center"/>
    </xf>
    <xf numFmtId="0" fontId="18" fillId="7" borderId="109" xfId="0" applyFont="1" applyFill="1" applyBorder="1" applyAlignment="1">
      <alignment horizontal="center" wrapText="1"/>
    </xf>
    <xf numFmtId="17" fontId="7" fillId="0" borderId="122" xfId="0" applyNumberFormat="1" applyFont="1" applyBorder="1" applyAlignment="1">
      <alignment horizontal="center" vertical="center" textRotation="90"/>
    </xf>
    <xf numFmtId="0" fontId="5" fillId="0" borderId="125" xfId="0" applyFont="1" applyBorder="1" applyAlignment="1">
      <alignment vertical="center"/>
    </xf>
    <xf numFmtId="0" fontId="5" fillId="0" borderId="127" xfId="0" applyFont="1" applyBorder="1" applyAlignment="1">
      <alignment vertical="center"/>
    </xf>
    <xf numFmtId="165" fontId="6" fillId="5" borderId="130" xfId="0" applyNumberFormat="1" applyFont="1" applyFill="1" applyBorder="1" applyAlignment="1">
      <alignment horizontal="center" vertical="center"/>
    </xf>
    <xf numFmtId="0" fontId="5" fillId="0" borderId="131" xfId="0" applyFont="1" applyBorder="1" applyAlignment="1">
      <alignment vertical="center"/>
    </xf>
    <xf numFmtId="0" fontId="5" fillId="0" borderId="132" xfId="0" applyFont="1" applyBorder="1" applyAlignment="1">
      <alignment vertical="center"/>
    </xf>
    <xf numFmtId="0" fontId="1" fillId="0" borderId="69" xfId="0" applyFont="1" applyBorder="1" applyAlignment="1">
      <alignment horizontal="center" vertical="center"/>
    </xf>
    <xf numFmtId="0" fontId="5" fillId="0" borderId="82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7" fillId="0" borderId="67" xfId="0" applyFont="1" applyBorder="1" applyAlignment="1">
      <alignment horizontal="center" vertical="center"/>
    </xf>
    <xf numFmtId="0" fontId="5" fillId="0" borderId="91" xfId="0" applyFont="1" applyBorder="1" applyAlignment="1">
      <alignment vertical="center"/>
    </xf>
    <xf numFmtId="0" fontId="7" fillId="0" borderId="69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 textRotation="90"/>
    </xf>
    <xf numFmtId="0" fontId="5" fillId="0" borderId="98" xfId="0" applyFont="1" applyBorder="1" applyAlignment="1">
      <alignment vertical="center"/>
    </xf>
    <xf numFmtId="0" fontId="5" fillId="0" borderId="103" xfId="0" applyFont="1" applyBorder="1" applyAlignment="1">
      <alignment vertical="center"/>
    </xf>
  </cellXfs>
  <cellStyles count="3">
    <cellStyle name="Millares" xfId="2" builtinId="3"/>
    <cellStyle name="Normal" xfId="0" builtinId="0"/>
    <cellStyle name="Porcentaje" xfId="1" builtinId="5"/>
  </cellStyles>
  <dxfs count="2">
    <dxf>
      <font>
        <b/>
      </font>
      <fill>
        <patternFill patternType="solid">
          <fgColor rgb="FF1E4E79"/>
          <bgColor rgb="FF1E4E79"/>
        </patternFill>
      </fill>
    </dxf>
    <dxf>
      <font>
        <b/>
      </font>
      <fill>
        <patternFill patternType="solid">
          <fgColor rgb="FF1E4E79"/>
          <bgColor rgb="FF1E4E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gentina.gob.ar/normativa/nacional/resoluci%C3%B3n-299-1995-26908/text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56"/>
  <sheetViews>
    <sheetView tabSelected="1" topLeftCell="D1" zoomScaleNormal="100" workbookViewId="0">
      <selection activeCell="J18" sqref="J18"/>
    </sheetView>
  </sheetViews>
  <sheetFormatPr baseColWidth="10" defaultColWidth="14.42578125" defaultRowHeight="15" customHeight="1" x14ac:dyDescent="0.2"/>
  <cols>
    <col min="1" max="1" width="1.140625" customWidth="1"/>
    <col min="2" max="2" width="2.28515625" customWidth="1"/>
    <col min="3" max="3" width="0.85546875" customWidth="1"/>
    <col min="4" max="4" width="18.85546875" customWidth="1"/>
    <col min="5" max="5" width="17.140625" customWidth="1"/>
    <col min="6" max="6" width="2.5703125" customWidth="1"/>
    <col min="7" max="7" width="7.140625" customWidth="1"/>
    <col min="8" max="8" width="3.42578125" customWidth="1"/>
    <col min="9" max="9" width="25.140625" customWidth="1"/>
    <col min="10" max="10" width="16.7109375" customWidth="1"/>
    <col min="11" max="11" width="7.7109375" customWidth="1"/>
    <col min="12" max="12" width="20.85546875" customWidth="1"/>
    <col min="13" max="13" width="17.85546875" customWidth="1"/>
    <col min="14" max="14" width="3.42578125" customWidth="1"/>
    <col min="15" max="15" width="17" customWidth="1"/>
    <col min="16" max="16" width="2.85546875" customWidth="1"/>
    <col min="17" max="17" width="4.85546875" customWidth="1"/>
    <col min="18" max="18" width="24.5703125" style="248" customWidth="1"/>
  </cols>
  <sheetData>
    <row r="1" spans="2:25" ht="8.25" customHeight="1" thickBot="1" x14ac:dyDescent="0.25"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247"/>
      <c r="S1" s="3"/>
      <c r="T1" s="3"/>
      <c r="U1" s="3"/>
      <c r="V1" s="3"/>
      <c r="W1" s="3"/>
      <c r="X1" s="3"/>
      <c r="Y1" s="3"/>
    </row>
    <row r="2" spans="2:25" ht="12.75" customHeight="1" thickBot="1" x14ac:dyDescent="0.25">
      <c r="B2" s="272" t="s">
        <v>0</v>
      </c>
      <c r="C2" s="1"/>
      <c r="D2" s="4" t="s">
        <v>1</v>
      </c>
      <c r="E2" s="1"/>
      <c r="F2" s="1"/>
      <c r="G2" s="2"/>
      <c r="H2" s="5" t="str">
        <f>+Tablas!I32</f>
        <v/>
      </c>
      <c r="I2" s="2"/>
      <c r="J2" s="2"/>
      <c r="K2" s="2"/>
      <c r="L2" s="2"/>
      <c r="M2" s="1"/>
      <c r="N2" s="1"/>
      <c r="O2" s="1"/>
      <c r="P2" s="1"/>
      <c r="Q2" s="1"/>
      <c r="R2" s="247"/>
      <c r="S2" s="3"/>
      <c r="T2" s="3"/>
      <c r="U2" s="3"/>
      <c r="V2" s="3"/>
      <c r="W2" s="3"/>
      <c r="X2" s="3"/>
      <c r="Y2" s="3"/>
    </row>
    <row r="3" spans="2:25" ht="15" customHeight="1" thickBot="1" x14ac:dyDescent="0.25">
      <c r="B3" s="273"/>
      <c r="C3" s="1"/>
      <c r="D3" s="202">
        <v>46174</v>
      </c>
      <c r="E3" s="1"/>
      <c r="F3" s="1"/>
      <c r="G3" s="2"/>
      <c r="H3" s="6"/>
      <c r="I3" s="7"/>
      <c r="J3" s="7"/>
      <c r="K3" s="7"/>
      <c r="L3" s="7"/>
      <c r="M3" s="8"/>
      <c r="N3" s="8"/>
      <c r="O3" s="8"/>
      <c r="P3" s="9"/>
      <c r="Q3" s="1"/>
      <c r="R3" s="247"/>
      <c r="S3" s="3"/>
      <c r="T3" s="3"/>
      <c r="U3" s="3"/>
      <c r="V3" s="3"/>
      <c r="W3" s="3"/>
      <c r="X3" s="3"/>
      <c r="Y3" s="3"/>
    </row>
    <row r="4" spans="2:25" ht="16.5" customHeight="1" thickBot="1" x14ac:dyDescent="0.25">
      <c r="B4" s="273"/>
      <c r="C4" s="1"/>
      <c r="D4" s="1"/>
      <c r="E4" s="1"/>
      <c r="F4" s="1"/>
      <c r="G4" s="2"/>
      <c r="H4" s="10"/>
      <c r="I4" s="275" t="s">
        <v>2</v>
      </c>
      <c r="J4" s="276"/>
      <c r="K4" s="2"/>
      <c r="L4" s="275" t="s">
        <v>3</v>
      </c>
      <c r="M4" s="276"/>
      <c r="N4" s="1"/>
      <c r="O4" s="11" t="s">
        <v>4</v>
      </c>
      <c r="P4" s="12"/>
      <c r="Q4" s="1"/>
      <c r="R4" s="281" t="s">
        <v>249</v>
      </c>
      <c r="S4" s="282"/>
      <c r="T4" s="3"/>
      <c r="W4" s="3"/>
      <c r="X4" s="3"/>
      <c r="Y4" s="3"/>
    </row>
    <row r="5" spans="2:25" ht="16.5" customHeight="1" thickTop="1" thickBot="1" x14ac:dyDescent="0.25">
      <c r="B5" s="273"/>
      <c r="C5" s="1"/>
      <c r="D5" s="13" t="s">
        <v>5</v>
      </c>
      <c r="E5" s="215"/>
      <c r="F5" s="1"/>
      <c r="G5" s="2"/>
      <c r="H5" s="10"/>
      <c r="I5" s="14" t="s">
        <v>6</v>
      </c>
      <c r="J5" s="216" t="str">
        <f>IF(D$3&gt;0,IF(Tablas!J36=0,"",ROUND(Tablas!J36,2)),"")</f>
        <v/>
      </c>
      <c r="K5" s="16"/>
      <c r="L5" s="14" t="s">
        <v>7</v>
      </c>
      <c r="M5" s="236" t="str">
        <f>IF(J27="","",ROUND(IF($J$27&gt;VLOOKUP(D3,Tablas!F70:O83,10,FALSE),VLOOKUP(D3,Tablas!F70:O83,10,FALSE)*0.11,J19*0.11),2))</f>
        <v/>
      </c>
      <c r="N5" s="16"/>
      <c r="O5" s="16"/>
      <c r="P5" s="17"/>
      <c r="Q5" s="1"/>
      <c r="T5" s="3"/>
      <c r="W5" s="3"/>
      <c r="X5" s="3"/>
      <c r="Y5" s="3"/>
    </row>
    <row r="6" spans="2:25" ht="16.5" customHeight="1" thickBot="1" x14ac:dyDescent="0.25">
      <c r="B6" s="273"/>
      <c r="C6" s="1"/>
      <c r="D6" s="18" t="s">
        <v>8</v>
      </c>
      <c r="E6" s="203"/>
      <c r="F6" s="1"/>
      <c r="G6" s="2"/>
      <c r="H6" s="10"/>
      <c r="I6" s="14" t="s">
        <v>9</v>
      </c>
      <c r="J6" s="216" t="str">
        <f>IF(D$3&gt;0,IF(Tablas!J37=0,"",ROUND(Tablas!J37,2)),"")</f>
        <v/>
      </c>
      <c r="K6" s="2"/>
      <c r="L6" s="14" t="s">
        <v>10</v>
      </c>
      <c r="M6" s="236" t="str">
        <f>IF(J27="","",ROUND(IF(J27&gt;VLOOKUP(D3,Tablas!F70:O83,10,FALSE),VLOOKUP(D3,Tablas!F70:O83,10,FALSE)*0.03,J19*0.03),2))</f>
        <v/>
      </c>
      <c r="N6" s="16"/>
      <c r="O6" s="1"/>
      <c r="P6" s="17"/>
      <c r="Q6" s="1"/>
      <c r="R6" s="281" t="s">
        <v>245</v>
      </c>
      <c r="S6" s="282"/>
      <c r="T6" s="3"/>
      <c r="W6" s="3"/>
      <c r="X6" s="3"/>
      <c r="Y6" s="3"/>
    </row>
    <row r="7" spans="2:25" ht="16.5" customHeight="1" thickBot="1" x14ac:dyDescent="0.25">
      <c r="B7" s="273"/>
      <c r="C7" s="1"/>
      <c r="D7" s="18" t="s">
        <v>11</v>
      </c>
      <c r="E7" s="203"/>
      <c r="F7" s="1"/>
      <c r="G7" s="2"/>
      <c r="H7" s="10"/>
      <c r="I7" s="14" t="s">
        <v>12</v>
      </c>
      <c r="J7" s="216" t="str">
        <f>IF(D$3&gt;0,IF(Tablas!G22=0,"",ROUND(Tablas!G22,2)),"")</f>
        <v/>
      </c>
      <c r="K7" s="15"/>
      <c r="L7" s="14" t="s">
        <v>13</v>
      </c>
      <c r="M7" s="236" t="str">
        <f>IF(J27="","",ROUND(IF(J27&gt;VLOOKUP(D3,Tablas!F70:O83,10,FALSE),VLOOKUP(D3,Tablas!F70:O83,10,FALSE)*IF(E27="UP c/pers. a cargo",0.032,0.03),J19*IF(E27="UP c/pers. a cargo",0.032,0.03)),2))</f>
        <v/>
      </c>
      <c r="N7" s="15"/>
      <c r="O7" s="15"/>
      <c r="P7" s="19"/>
      <c r="Q7" s="1"/>
      <c r="R7" s="251" t="s">
        <v>236</v>
      </c>
      <c r="S7" s="252" t="s">
        <v>250</v>
      </c>
      <c r="T7" s="3"/>
      <c r="W7" s="3"/>
      <c r="X7" s="3"/>
      <c r="Y7" s="3"/>
    </row>
    <row r="8" spans="2:25" ht="16.5" customHeight="1" thickBot="1" x14ac:dyDescent="0.25">
      <c r="B8" s="273"/>
      <c r="C8" s="1"/>
      <c r="D8" s="277" t="s">
        <v>14</v>
      </c>
      <c r="E8" s="278"/>
      <c r="F8" s="1"/>
      <c r="G8" s="5"/>
      <c r="H8" s="10"/>
      <c r="I8" s="14" t="s">
        <v>15</v>
      </c>
      <c r="J8" s="216" t="str">
        <f>IF(D$3&gt;0,IF(Tablas!G23=0,"",ROUND(Tablas!G23,2)),"")</f>
        <v/>
      </c>
      <c r="K8" s="15"/>
      <c r="L8" s="14" t="s">
        <v>16</v>
      </c>
      <c r="M8" s="236" t="str">
        <f>IF(J19="","",3.8)</f>
        <v/>
      </c>
      <c r="N8" s="15"/>
      <c r="O8" s="15"/>
      <c r="P8" s="19"/>
      <c r="Q8" s="1"/>
      <c r="R8" s="253" t="s">
        <v>242</v>
      </c>
      <c r="S8" s="249" t="s">
        <v>233</v>
      </c>
      <c r="T8" s="3"/>
      <c r="W8" s="3"/>
      <c r="X8" s="3"/>
      <c r="Y8" s="3"/>
    </row>
    <row r="9" spans="2:25" ht="16.5" customHeight="1" thickBot="1" x14ac:dyDescent="0.25">
      <c r="B9" s="274"/>
      <c r="C9" s="1"/>
      <c r="D9" s="279"/>
      <c r="E9" s="280"/>
      <c r="F9" s="1"/>
      <c r="G9" s="2"/>
      <c r="H9" s="10"/>
      <c r="I9" s="14" t="s">
        <v>17</v>
      </c>
      <c r="J9" s="216" t="str">
        <f>IF(D$3&gt;0,IF(Tablas!G24=0,"",ROUND(Tablas!G24,2)),"")</f>
        <v/>
      </c>
      <c r="K9" s="15"/>
      <c r="L9" s="20" t="str">
        <f>IF(E28="","Aporte solidario","Aporte sindical")</f>
        <v>Aporte solidario</v>
      </c>
      <c r="M9" s="236" t="str">
        <f>IF(J27="","",ROUNDDOWN(IF(J27&gt;VLOOKUP(D3,Tablas!F70:O83,10,FALSE),VLOOKUP(D3,Tablas!F70:O83,10,FALSE)*IF(E28="",0.005,IF(E28="ATE",0.022,IF(E28="UPCN",0.03,0.052))),J19*IF(E28="",0.005,IF(E28="ATE",0.022,IF(E28="UPCN",0.03,0.052)))),2))</f>
        <v/>
      </c>
      <c r="N9" s="15"/>
      <c r="O9" s="15"/>
      <c r="P9" s="19"/>
      <c r="Q9" s="1"/>
      <c r="R9" s="254" t="s">
        <v>237</v>
      </c>
      <c r="S9" s="249" t="s">
        <v>234</v>
      </c>
      <c r="T9" s="3"/>
      <c r="W9" s="3"/>
      <c r="X9" s="3"/>
      <c r="Y9" s="3"/>
    </row>
    <row r="10" spans="2:25" ht="16.5" customHeight="1" thickBot="1" x14ac:dyDescent="0.25">
      <c r="B10" s="1"/>
      <c r="C10" s="1"/>
      <c r="D10" s="1"/>
      <c r="E10" s="21"/>
      <c r="F10" s="1"/>
      <c r="G10" s="2"/>
      <c r="H10" s="10"/>
      <c r="I10" s="14" t="s">
        <v>18</v>
      </c>
      <c r="J10" s="216" t="str">
        <f>IF(D$3&gt;0,IF(Tablas!G25=0,"",ROUND(Tablas!G25,2)),"")</f>
        <v/>
      </c>
      <c r="K10" s="15"/>
      <c r="L10" s="20"/>
      <c r="M10" s="237"/>
      <c r="N10" s="15"/>
      <c r="O10" s="15"/>
      <c r="P10" s="19"/>
      <c r="Q10" s="1"/>
      <c r="R10" s="255" t="s">
        <v>238</v>
      </c>
      <c r="S10" s="250" t="s">
        <v>235</v>
      </c>
      <c r="T10" s="3"/>
      <c r="W10" s="3"/>
      <c r="X10" s="3"/>
      <c r="Y10" s="3"/>
    </row>
    <row r="11" spans="2:25" ht="16.5" customHeight="1" thickBot="1" x14ac:dyDescent="0.25">
      <c r="B11" s="1"/>
      <c r="C11" s="1"/>
      <c r="D11" s="22" t="s">
        <v>19</v>
      </c>
      <c r="E11" s="204"/>
      <c r="F11" s="1"/>
      <c r="G11" s="2"/>
      <c r="H11" s="10"/>
      <c r="I11" s="20" t="s">
        <v>20</v>
      </c>
      <c r="J11" s="216" t="str">
        <f>IF(D$3&gt;0,IF(Tablas!G26=0,"",ROUND(Tablas!G26,2)),"")</f>
        <v/>
      </c>
      <c r="K11" s="15"/>
      <c r="L11" s="23" t="s">
        <v>21</v>
      </c>
      <c r="M11" s="238"/>
      <c r="N11" s="15"/>
      <c r="O11" s="15"/>
      <c r="P11" s="19"/>
      <c r="Q11" s="1"/>
      <c r="R11" s="247"/>
      <c r="S11" s="3"/>
      <c r="T11" s="3"/>
      <c r="W11" s="3"/>
      <c r="X11" s="3"/>
      <c r="Y11" s="3"/>
    </row>
    <row r="12" spans="2:25" ht="16.5" customHeight="1" thickBot="1" x14ac:dyDescent="0.25">
      <c r="B12" s="1"/>
      <c r="C12" s="1"/>
      <c r="D12" s="1"/>
      <c r="E12" s="1"/>
      <c r="F12" s="1"/>
      <c r="G12" s="2"/>
      <c r="H12" s="10"/>
      <c r="I12" s="14" t="s">
        <v>22</v>
      </c>
      <c r="J12" s="216" t="str">
        <f>IF(D$3&gt;0,IF(Tablas!G27=0,"",ROUND(Tablas!G27,2)),"")</f>
        <v/>
      </c>
      <c r="K12" s="2"/>
      <c r="L12" s="14"/>
      <c r="M12" s="236"/>
      <c r="N12" s="15"/>
      <c r="O12" s="15"/>
      <c r="P12" s="19"/>
      <c r="Q12" s="1"/>
      <c r="R12" s="281" t="s">
        <v>246</v>
      </c>
      <c r="S12" s="282"/>
      <c r="T12" s="3"/>
      <c r="W12" s="3"/>
      <c r="X12" s="3"/>
      <c r="Y12" s="3"/>
    </row>
    <row r="13" spans="2:25" ht="16.5" customHeight="1" thickBot="1" x14ac:dyDescent="0.25">
      <c r="B13" s="1"/>
      <c r="C13" s="1"/>
      <c r="D13" s="24" t="s">
        <v>23</v>
      </c>
      <c r="E13" s="205"/>
      <c r="F13" s="1"/>
      <c r="G13" s="2"/>
      <c r="H13" s="10"/>
      <c r="I13" s="14" t="s">
        <v>24</v>
      </c>
      <c r="J13" s="216" t="str">
        <f>IF(D$3&gt;0,IF(Tablas!G28=0,"",ROUND(Tablas!G28,2)),"")</f>
        <v/>
      </c>
      <c r="K13" s="15"/>
      <c r="L13" s="14"/>
      <c r="M13" s="239"/>
      <c r="N13" s="15"/>
      <c r="O13" s="15"/>
      <c r="P13" s="19"/>
      <c r="Q13" s="1"/>
      <c r="R13" s="251" t="s">
        <v>243</v>
      </c>
      <c r="S13" s="252" t="s">
        <v>250</v>
      </c>
      <c r="T13" s="3"/>
      <c r="W13" s="3"/>
      <c r="X13" s="3"/>
      <c r="Y13" s="3"/>
    </row>
    <row r="14" spans="2:25" ht="16.5" customHeight="1" thickBot="1" x14ac:dyDescent="0.25">
      <c r="B14" s="1"/>
      <c r="C14" s="1"/>
      <c r="D14" s="1"/>
      <c r="E14" s="1"/>
      <c r="F14" s="1"/>
      <c r="G14" s="2"/>
      <c r="H14" s="10"/>
      <c r="I14" s="14" t="s">
        <v>25</v>
      </c>
      <c r="J14" s="216" t="str">
        <f>IF(D$3&gt;0,IF(Tablas!G29=0,"",ROUND(Tablas!G29,2)),"")</f>
        <v/>
      </c>
      <c r="K14" s="15"/>
      <c r="L14" s="14"/>
      <c r="M14" s="239"/>
      <c r="N14" s="15"/>
      <c r="O14" s="15"/>
      <c r="P14" s="19"/>
      <c r="Q14" s="1"/>
      <c r="R14" s="253" t="s">
        <v>240</v>
      </c>
      <c r="S14" s="249" t="s">
        <v>234</v>
      </c>
      <c r="T14" s="3"/>
      <c r="W14" s="3"/>
      <c r="X14" s="3"/>
      <c r="Y14" s="3"/>
    </row>
    <row r="15" spans="2:25" ht="16.5" customHeight="1" thickBot="1" x14ac:dyDescent="0.25">
      <c r="B15" s="1"/>
      <c r="C15" s="1"/>
      <c r="D15" s="25" t="s">
        <v>26</v>
      </c>
      <c r="E15" s="206"/>
      <c r="F15" s="1"/>
      <c r="G15" s="2"/>
      <c r="H15" s="10"/>
      <c r="I15" s="14" t="s">
        <v>27</v>
      </c>
      <c r="J15" s="216" t="str">
        <f>IF(D$3&gt;0,IF(Tablas!G30=0,"",ROUND(Tablas!G30,2)),"")</f>
        <v/>
      </c>
      <c r="K15" s="15"/>
      <c r="L15" s="14"/>
      <c r="M15" s="239"/>
      <c r="N15" s="15"/>
      <c r="O15" s="15"/>
      <c r="P15" s="19"/>
      <c r="Q15" s="1"/>
      <c r="R15" s="254" t="s">
        <v>241</v>
      </c>
      <c r="S15" s="249" t="s">
        <v>234</v>
      </c>
      <c r="T15" s="26"/>
      <c r="W15" s="3"/>
      <c r="X15" s="3"/>
      <c r="Y15" s="3"/>
    </row>
    <row r="16" spans="2:25" ht="16.5" customHeight="1" thickBot="1" x14ac:dyDescent="0.25">
      <c r="B16" s="1"/>
      <c r="C16" s="1"/>
      <c r="D16" s="1"/>
      <c r="E16" s="27"/>
      <c r="F16" s="1"/>
      <c r="G16" s="2"/>
      <c r="H16" s="10"/>
      <c r="I16" s="14" t="s">
        <v>28</v>
      </c>
      <c r="J16" s="216" t="str">
        <f>IF(D$3&gt;0,IF(Tablas!G31=0,"",ROUND(Tablas!G31,2)),"")</f>
        <v/>
      </c>
      <c r="K16" s="15"/>
      <c r="L16" s="14"/>
      <c r="M16" s="239"/>
      <c r="N16" s="15"/>
      <c r="O16" s="15"/>
      <c r="P16" s="19"/>
      <c r="Q16" s="1"/>
      <c r="R16" s="255" t="s">
        <v>239</v>
      </c>
      <c r="S16" s="250" t="s">
        <v>234</v>
      </c>
      <c r="T16" s="26"/>
      <c r="W16" s="3"/>
      <c r="X16" s="3"/>
      <c r="Y16" s="3"/>
    </row>
    <row r="17" spans="2:25" ht="13.5" customHeight="1" thickBot="1" x14ac:dyDescent="0.25">
      <c r="B17" s="1"/>
      <c r="C17" s="1"/>
      <c r="D17" s="28" t="s">
        <v>29</v>
      </c>
      <c r="E17" s="207"/>
      <c r="F17" s="1"/>
      <c r="G17" s="2"/>
      <c r="H17" s="10"/>
      <c r="I17" s="231" t="str">
        <f>IF(
       SUM(J5:J6)&gt;0,
       IF(
             OR(D3=Tablas!F5,D3=Tablas!F6),
             "",
             IF(
                  OR(D3=Tablas!F8,D3=Tablas!F9,D3=Tablas!F10),
                  "",
                   IF(
                         D3=Tablas!F11,
                         "",
                          IF(
                                D3=Tablas!F7,
                                 "BONO Agosto",
                                "")
                    )
               )
         ),
"")&amp;LEFT("[NOTA] Jun-2026: fórmula desactivada temporalmente. Revisar cuando vuelva el adicional.",0)</f>
        <v/>
      </c>
      <c r="J17" s="234" t="str">
        <f>IF(
SUM(J5:J6)&gt;0,
(IF(
     OR(D3=Tablas!F5,D3=Tablas!F6),
     "",
     (IF(
          OR(D3=Tablas!F8,D3=Tablas!F9,D3=Tablas!F10),
          "",
          IF(
               D3=Tablas!F11,
                "",
                IF(
                     D3=Tablas!F7,
                     50000,
                     ""
                     )
                 )
              )
        )
    )
  ),
  "")</f>
        <v/>
      </c>
      <c r="K17" s="2"/>
      <c r="L17" s="2"/>
      <c r="M17" s="239"/>
      <c r="N17" s="1"/>
      <c r="O17" s="1"/>
      <c r="P17" s="12"/>
      <c r="Q17" s="1"/>
      <c r="R17" s="247"/>
      <c r="S17" s="3"/>
      <c r="T17" s="3"/>
      <c r="W17" s="3"/>
      <c r="X17" s="3"/>
      <c r="Y17" s="3"/>
    </row>
    <row r="18" spans="2:25" ht="13.5" customHeight="1" thickBot="1" x14ac:dyDescent="0.25">
      <c r="B18" s="1"/>
      <c r="C18" s="1"/>
      <c r="D18" s="1"/>
      <c r="E18" s="2"/>
      <c r="F18" s="1"/>
      <c r="G18" s="2"/>
      <c r="H18" s="10"/>
      <c r="I18" s="23" t="s">
        <v>229</v>
      </c>
      <c r="J18" s="214"/>
      <c r="K18" s="2"/>
      <c r="L18" s="2"/>
      <c r="M18" s="239"/>
      <c r="N18" s="1"/>
      <c r="O18" s="1"/>
      <c r="P18" s="235"/>
      <c r="Q18" s="1"/>
      <c r="R18" s="281" t="s">
        <v>247</v>
      </c>
      <c r="S18" s="282"/>
      <c r="T18" s="3"/>
      <c r="U18" s="3"/>
      <c r="V18" s="3"/>
      <c r="W18" s="3"/>
      <c r="X18" s="3"/>
      <c r="Y18" s="3"/>
    </row>
    <row r="19" spans="2:25" ht="13.5" customHeight="1" thickBot="1" x14ac:dyDescent="0.25">
      <c r="B19" s="1"/>
      <c r="C19" s="31"/>
      <c r="D19" s="32"/>
      <c r="E19" s="32"/>
      <c r="F19" s="33"/>
      <c r="G19" s="2"/>
      <c r="H19" s="10"/>
      <c r="I19" s="29" t="s">
        <v>30</v>
      </c>
      <c r="J19" s="218" t="str">
        <f>IF(SUM(J5:J16)=0,"",SUM(J5:J18))</f>
        <v/>
      </c>
      <c r="K19" s="30"/>
      <c r="L19" s="29" t="s">
        <v>30</v>
      </c>
      <c r="M19" s="240" t="str">
        <f>IF(SUM(M5:M15)=0,"",SUM(M5:M15))</f>
        <v/>
      </c>
      <c r="N19" s="30"/>
      <c r="O19" s="218" t="str">
        <f>IF(J19="","",J19-M19)</f>
        <v/>
      </c>
      <c r="P19" s="12"/>
      <c r="Q19" s="1"/>
      <c r="R19" s="251" t="s">
        <v>248</v>
      </c>
      <c r="S19" s="252" t="s">
        <v>250</v>
      </c>
      <c r="T19" s="3"/>
      <c r="U19" s="3"/>
      <c r="V19" s="3"/>
      <c r="W19" s="3"/>
      <c r="X19" s="3"/>
      <c r="Y19" s="3"/>
    </row>
    <row r="20" spans="2:25" ht="13.5" customHeight="1" thickBot="1" x14ac:dyDescent="0.25">
      <c r="B20" s="1"/>
      <c r="C20" s="34"/>
      <c r="D20" s="35" t="s">
        <v>31</v>
      </c>
      <c r="E20" s="208"/>
      <c r="F20" s="36"/>
      <c r="G20" s="2"/>
      <c r="H20" s="10"/>
      <c r="I20" s="20"/>
      <c r="J20" s="216"/>
      <c r="K20" s="2"/>
      <c r="L20" s="2"/>
      <c r="M20" s="220"/>
      <c r="N20" s="1"/>
      <c r="O20" s="1"/>
      <c r="P20" s="12"/>
      <c r="Q20" s="1"/>
      <c r="R20" s="256" t="s">
        <v>244</v>
      </c>
      <c r="S20" s="250" t="s">
        <v>234</v>
      </c>
      <c r="T20" s="3"/>
      <c r="U20" s="3"/>
      <c r="V20" s="3"/>
      <c r="W20" s="3"/>
      <c r="X20" s="3"/>
      <c r="Y20" s="3"/>
    </row>
    <row r="21" spans="2:25" ht="12.75" customHeight="1" thickBot="1" x14ac:dyDescent="0.25">
      <c r="B21" s="1"/>
      <c r="C21" s="34"/>
      <c r="D21" s="1"/>
      <c r="E21" s="1"/>
      <c r="F21" s="36"/>
      <c r="G21" s="2"/>
      <c r="H21" s="10"/>
      <c r="I21" s="20" t="s">
        <v>32</v>
      </c>
      <c r="J21" s="216" t="str">
        <f>IF(D$3&gt;0,IF(Tablas!G32=0,"",ROUND(Tablas!G32,2)),"")</f>
        <v/>
      </c>
      <c r="K21" s="15"/>
      <c r="L21" s="14" t="s">
        <v>7</v>
      </c>
      <c r="M21" s="219" t="str">
        <f>IF(J25="","",IF(J27&gt;VLOOKUP(D3,Tablas!F70:T83,15,FALSE),"",ROUND(J25*0.11,2)))</f>
        <v/>
      </c>
      <c r="N21" s="15"/>
      <c r="O21" s="15"/>
      <c r="P21" s="19"/>
      <c r="Q21" s="1"/>
      <c r="T21" s="3"/>
      <c r="U21" s="3"/>
      <c r="V21" s="3"/>
      <c r="W21" s="3"/>
      <c r="X21" s="3"/>
      <c r="Y21" s="3"/>
    </row>
    <row r="22" spans="2:25" ht="17.25" customHeight="1" thickBot="1" x14ac:dyDescent="0.25">
      <c r="B22" s="1"/>
      <c r="C22" s="34"/>
      <c r="D22" s="262" t="s">
        <v>34</v>
      </c>
      <c r="E22" s="263"/>
      <c r="F22" s="36"/>
      <c r="G22" s="2"/>
      <c r="H22" s="10"/>
      <c r="I22" s="14" t="s">
        <v>33</v>
      </c>
      <c r="J22" s="216" t="str">
        <f>IF(D3&gt;0,IF(K30="NO",IF(OR(J5="",J32="",J33="",J34="",J35=""),"",ROUND(Tablas!G33,2)),IF(K30="","",ROUND(Tablas!G33,2))),"")</f>
        <v/>
      </c>
      <c r="K22" s="15"/>
      <c r="L22" s="14" t="s">
        <v>10</v>
      </c>
      <c r="M22" s="219" t="str">
        <f>IF(J25="","",IF(J27&gt;VLOOKUP(D3,Tablas!F70:T83,15,FALSE),"",ROUND(J25*0.03,2)))</f>
        <v/>
      </c>
      <c r="N22" s="15"/>
      <c r="O22" s="15"/>
      <c r="P22" s="19"/>
      <c r="Q22" s="1"/>
      <c r="R22" s="247"/>
      <c r="S22" s="3"/>
      <c r="T22" s="3"/>
      <c r="U22" s="3"/>
      <c r="V22" s="3"/>
      <c r="W22" s="3"/>
      <c r="X22" s="3"/>
      <c r="Y22" s="3"/>
    </row>
    <row r="23" spans="2:25" ht="15" customHeight="1" thickBot="1" x14ac:dyDescent="0.25">
      <c r="B23" s="1"/>
      <c r="C23" s="34"/>
      <c r="D23" s="37" t="s">
        <v>36</v>
      </c>
      <c r="E23" s="208"/>
      <c r="F23" s="36"/>
      <c r="G23" s="2"/>
      <c r="H23" s="10"/>
      <c r="I23" s="14" t="s">
        <v>35</v>
      </c>
      <c r="J23" s="216" t="str">
        <f>IF(IF(K30="NO",IF(OR(J5="",J32="",J33="",J34="",J35="",J22="",J22=0),"",Tablas!G34),IF(OR(K30="",E33="",J22=0,J22=""),"",Tablas!G34))="","",ROUND(Tablas!G34,2))</f>
        <v/>
      </c>
      <c r="K23" s="15"/>
      <c r="L23" s="14" t="s">
        <v>13</v>
      </c>
      <c r="M23" s="219" t="str">
        <f>IF(J25="","",IF(J27&gt;VLOOKUP(D3,Tablas!F70:T83,15,FALSE),"",ROUND(J25*IF(E27="UP c/pers. a cargo",0.032,0.03),2)))</f>
        <v/>
      </c>
      <c r="N23" s="15"/>
      <c r="O23" s="15"/>
      <c r="P23" s="19"/>
      <c r="Q23" s="1"/>
      <c r="R23" s="247"/>
      <c r="S23" s="3"/>
      <c r="T23" s="3"/>
      <c r="U23" s="3"/>
      <c r="V23" s="3"/>
      <c r="W23" s="3"/>
      <c r="X23" s="3"/>
      <c r="Y23" s="3"/>
    </row>
    <row r="24" spans="2:25" ht="14.25" customHeight="1" thickBot="1" x14ac:dyDescent="0.25">
      <c r="B24" s="1"/>
      <c r="C24" s="34"/>
      <c r="D24" s="37" t="s">
        <v>38</v>
      </c>
      <c r="E24" s="208"/>
      <c r="F24" s="36"/>
      <c r="G24" s="2"/>
      <c r="H24" s="10"/>
      <c r="I24" s="2"/>
      <c r="J24" s="217"/>
      <c r="K24" s="15"/>
      <c r="L24" s="20" t="str">
        <f>IF(E28="","Aporte solidario","Aporte sindical")</f>
        <v>Aporte solidario</v>
      </c>
      <c r="M24" s="219" t="str">
        <f>IF(OR(J25="",E28=""),"",
       IF(J27&gt;VLOOKUP(D3,Tablas!F70:T83,15,FALSE),"",
      ROUND(J25*IF(E28="ATE",0.022,IF(E28="UPCN",0.03,0.052)),2)))</f>
        <v/>
      </c>
      <c r="N24" s="15"/>
      <c r="O24" s="15"/>
      <c r="P24" s="19"/>
      <c r="Q24" s="1"/>
      <c r="R24" s="247"/>
      <c r="S24" s="3"/>
      <c r="T24" s="3"/>
      <c r="U24" s="3"/>
      <c r="V24" s="3"/>
      <c r="W24" s="3"/>
      <c r="X24" s="3"/>
      <c r="Y24" s="3"/>
    </row>
    <row r="25" spans="2:25" ht="14.25" customHeight="1" x14ac:dyDescent="0.2">
      <c r="B25" s="1"/>
      <c r="C25" s="38" t="s">
        <v>39</v>
      </c>
      <c r="D25" s="39"/>
      <c r="E25" s="40"/>
      <c r="F25" s="41"/>
      <c r="G25" s="2"/>
      <c r="H25" s="10"/>
      <c r="I25" s="29" t="s">
        <v>37</v>
      </c>
      <c r="J25" s="218" t="str">
        <f>IF(OR(SUM(J21:J23)="",SUM(J21:J23)=0),"",SUM(J21:J23))</f>
        <v/>
      </c>
      <c r="K25" s="30"/>
      <c r="L25" s="29" t="s">
        <v>30</v>
      </c>
      <c r="M25" s="218" t="str">
        <f>IF(SUM(M21:M24)=0,"",SUM(M21:M24))</f>
        <v/>
      </c>
      <c r="N25" s="30"/>
      <c r="O25" s="218" t="str">
        <f>IF(J25="","",IF(M25="",J25,J25-M25))</f>
        <v/>
      </c>
      <c r="P25" s="12"/>
      <c r="Q25" s="1"/>
      <c r="R25" s="247"/>
      <c r="S25" s="3"/>
      <c r="T25" s="3"/>
      <c r="U25" s="3"/>
      <c r="V25" s="3"/>
      <c r="W25" s="3"/>
      <c r="X25" s="3"/>
      <c r="Y25" s="3"/>
    </row>
    <row r="26" spans="2:25" ht="15" customHeight="1" thickBot="1" x14ac:dyDescent="0.25">
      <c r="B26" s="1"/>
      <c r="G26" s="2"/>
      <c r="H26" s="10"/>
      <c r="I26" s="2"/>
      <c r="J26" s="217"/>
      <c r="K26" s="2"/>
      <c r="L26" s="2"/>
      <c r="M26" s="220"/>
      <c r="N26" s="1"/>
      <c r="O26" s="1"/>
      <c r="P26" s="12"/>
      <c r="Q26" s="1"/>
      <c r="R26" s="247"/>
      <c r="S26" s="3"/>
      <c r="T26" s="3"/>
      <c r="U26" s="3"/>
      <c r="V26" s="3"/>
      <c r="W26" s="3"/>
      <c r="X26" s="3"/>
      <c r="Y26" s="3"/>
    </row>
    <row r="27" spans="2:25" ht="13.5" customHeight="1" thickBot="1" x14ac:dyDescent="0.25">
      <c r="B27" s="1"/>
      <c r="D27" s="46" t="s">
        <v>228</v>
      </c>
      <c r="E27" s="257"/>
      <c r="G27" s="2"/>
      <c r="H27" s="10"/>
      <c r="I27" s="221" t="s">
        <v>40</v>
      </c>
      <c r="J27" s="222" t="str">
        <f>IF(SUM(J5:J16)=0,"",SUM(J19:J23))</f>
        <v/>
      </c>
      <c r="K27" s="223"/>
      <c r="L27" s="221" t="s">
        <v>40</v>
      </c>
      <c r="M27" s="222" t="str">
        <f>IF(SUM(M5:M15)=0,"",SUM(M19:M24))</f>
        <v/>
      </c>
      <c r="N27" s="223"/>
      <c r="O27" s="222" t="str">
        <f>IF(J27="","",J27-M27)</f>
        <v/>
      </c>
      <c r="P27" s="12"/>
      <c r="Q27" s="1"/>
      <c r="R27" s="247"/>
      <c r="S27" s="3"/>
      <c r="T27" s="3"/>
      <c r="U27" s="3"/>
      <c r="V27" s="3"/>
      <c r="W27" s="3"/>
      <c r="X27" s="3"/>
      <c r="Y27" s="3"/>
    </row>
    <row r="28" spans="2:25" ht="17.25" customHeight="1" thickBot="1" x14ac:dyDescent="0.25">
      <c r="B28" s="1"/>
      <c r="D28" s="46" t="s">
        <v>41</v>
      </c>
      <c r="E28" s="209"/>
      <c r="F28" s="1"/>
      <c r="G28" s="2"/>
      <c r="H28" s="42"/>
      <c r="I28" s="43"/>
      <c r="J28" s="43"/>
      <c r="K28" s="43"/>
      <c r="L28" s="43"/>
      <c r="M28" s="44"/>
      <c r="N28" s="44"/>
      <c r="O28" s="44"/>
      <c r="P28" s="45"/>
      <c r="Q28" s="1"/>
      <c r="R28" s="247"/>
      <c r="S28" s="3"/>
      <c r="T28" s="3"/>
      <c r="U28" s="3"/>
      <c r="V28" s="3"/>
      <c r="W28" s="3"/>
      <c r="X28" s="3"/>
      <c r="Y28" s="3"/>
    </row>
    <row r="29" spans="2:25" ht="17.25" customHeight="1" thickBot="1" x14ac:dyDescent="0.25">
      <c r="B29" s="1"/>
      <c r="C29" s="1"/>
      <c r="F29" s="1"/>
      <c r="G29" s="2"/>
      <c r="H29" s="5" t="str">
        <f>+IF(D3&gt;0,IF(OR(Tablas!B5=0,Tablas!B32=0),"",Tablas!K30),"")</f>
        <v/>
      </c>
      <c r="I29" s="2"/>
      <c r="J29" s="2"/>
      <c r="K29" s="2"/>
      <c r="L29" s="2"/>
      <c r="M29" s="1"/>
      <c r="N29" s="1"/>
      <c r="O29" s="1"/>
      <c r="P29" s="1"/>
      <c r="Q29" s="1"/>
      <c r="R29" s="247"/>
      <c r="S29" s="3"/>
      <c r="T29" s="3"/>
      <c r="U29" s="3"/>
      <c r="V29" s="3"/>
      <c r="W29" s="3"/>
      <c r="X29" s="3"/>
      <c r="Y29" s="3"/>
    </row>
    <row r="30" spans="2:25" ht="17.25" customHeight="1" thickBot="1" x14ac:dyDescent="0.25">
      <c r="B30" s="1"/>
      <c r="C30" s="1"/>
      <c r="D30" s="47" t="s">
        <v>44</v>
      </c>
      <c r="E30" s="210"/>
      <c r="F30" s="1"/>
      <c r="G30" s="2"/>
      <c r="H30" s="2"/>
      <c r="I30" s="285" t="s">
        <v>42</v>
      </c>
      <c r="J30" s="286"/>
      <c r="K30" s="213"/>
      <c r="L30" s="2"/>
      <c r="M30" s="264" t="s">
        <v>43</v>
      </c>
      <c r="N30" s="265"/>
      <c r="O30" s="266"/>
      <c r="P30" s="1"/>
      <c r="Q30" s="1"/>
      <c r="R30" s="247"/>
      <c r="S30" s="3"/>
      <c r="T30" s="3"/>
      <c r="U30" s="3"/>
      <c r="V30" s="3"/>
      <c r="W30" s="3"/>
      <c r="X30" s="3"/>
      <c r="Y30" s="3"/>
    </row>
    <row r="31" spans="2:25" ht="17.25" customHeight="1" thickBot="1" x14ac:dyDescent="0.25">
      <c r="B31" s="1"/>
      <c r="G31" s="2"/>
      <c r="H31" s="2"/>
      <c r="I31" s="283" t="s">
        <v>45</v>
      </c>
      <c r="J31" s="284"/>
      <c r="K31" s="276"/>
      <c r="L31" s="2"/>
      <c r="M31" s="48" t="s">
        <v>46</v>
      </c>
      <c r="N31" s="2"/>
      <c r="O31" s="49">
        <f>+IF($D$3&gt;0,VLOOKUP($D$3,Tablas!$F$70:$N$83,2,FALSE),"")</f>
        <v>181939</v>
      </c>
      <c r="P31" s="1"/>
      <c r="Q31" s="1"/>
      <c r="R31" s="247"/>
      <c r="S31" s="3"/>
      <c r="T31" s="3"/>
      <c r="U31" s="3"/>
      <c r="V31" s="3"/>
      <c r="W31" s="3"/>
      <c r="X31" s="3"/>
      <c r="Y31" s="3"/>
    </row>
    <row r="32" spans="2:25" ht="17.25" customHeight="1" thickBot="1" x14ac:dyDescent="0.25">
      <c r="B32" s="1"/>
      <c r="C32" s="1"/>
      <c r="D32" s="51" t="s">
        <v>49</v>
      </c>
      <c r="E32" s="52"/>
      <c r="F32" s="1"/>
      <c r="G32" s="2"/>
      <c r="H32" s="2"/>
      <c r="I32" s="50" t="s">
        <v>5</v>
      </c>
      <c r="J32" s="270"/>
      <c r="K32" s="269"/>
      <c r="L32" s="2"/>
      <c r="M32" s="48" t="s">
        <v>47</v>
      </c>
      <c r="N32" s="2"/>
      <c r="O32" s="49">
        <f>+IF($D$3&gt;0,VLOOKUP($D$3,Tablas!$F$70:$N$83,4,FALSE),"")</f>
        <v>76934</v>
      </c>
      <c r="P32" s="1"/>
      <c r="Q32" s="1" t="s">
        <v>48</v>
      </c>
      <c r="R32" s="247"/>
      <c r="S32" s="3"/>
      <c r="T32" s="3"/>
      <c r="U32" s="3"/>
      <c r="V32" s="3"/>
      <c r="W32" s="3"/>
      <c r="X32" s="3"/>
      <c r="Y32" s="3"/>
    </row>
    <row r="33" spans="2:25" ht="17.25" customHeight="1" thickBot="1" x14ac:dyDescent="0.25">
      <c r="B33" s="1"/>
      <c r="C33" s="1"/>
      <c r="D33" s="53" t="s">
        <v>52</v>
      </c>
      <c r="E33" s="211"/>
      <c r="F33" s="1"/>
      <c r="G33" s="2"/>
      <c r="H33" s="2"/>
      <c r="I33" s="50" t="s">
        <v>8</v>
      </c>
      <c r="J33" s="270"/>
      <c r="K33" s="269"/>
      <c r="L33" s="2"/>
      <c r="M33" s="48" t="s">
        <v>50</v>
      </c>
      <c r="N33" s="2"/>
      <c r="O33" s="49">
        <f>+IF($D$3&gt;0,VLOOKUP($D$3,Tablas!$F$70:$N$83,5,FALSE),"")</f>
        <v>53793</v>
      </c>
      <c r="P33" s="1"/>
      <c r="Q33" s="1" t="s">
        <v>51</v>
      </c>
      <c r="R33" s="247"/>
      <c r="S33" s="3"/>
      <c r="T33" s="3"/>
      <c r="U33" s="3"/>
      <c r="V33" s="3"/>
      <c r="W33" s="3"/>
      <c r="X33" s="3"/>
      <c r="Y33" s="3"/>
    </row>
    <row r="34" spans="2:25" ht="17.25" customHeight="1" thickBot="1" x14ac:dyDescent="0.25">
      <c r="B34" s="1"/>
      <c r="C34" s="1"/>
      <c r="D34" s="54" t="s">
        <v>55</v>
      </c>
      <c r="E34" s="212"/>
      <c r="F34" s="1"/>
      <c r="G34" s="2"/>
      <c r="H34" s="2"/>
      <c r="I34" s="50" t="s">
        <v>11</v>
      </c>
      <c r="J34" s="270"/>
      <c r="K34" s="269"/>
      <c r="L34" s="2"/>
      <c r="M34" s="48" t="s">
        <v>53</v>
      </c>
      <c r="N34" s="2"/>
      <c r="O34" s="49">
        <f>+IF($D$3&gt;0,VLOOKUP($D$3,Tablas!$F$70:$N$83,6,FALSE),"")</f>
        <v>76934</v>
      </c>
      <c r="P34" s="1"/>
      <c r="Q34" s="1" t="s">
        <v>54</v>
      </c>
      <c r="R34" s="247"/>
      <c r="S34" s="3"/>
      <c r="T34" s="3"/>
      <c r="U34" s="3"/>
      <c r="V34" s="3"/>
      <c r="W34" s="3"/>
      <c r="X34" s="3"/>
      <c r="Y34" s="3"/>
    </row>
    <row r="35" spans="2:25" ht="17.25" customHeight="1" thickBot="1" x14ac:dyDescent="0.25">
      <c r="B35" s="1"/>
      <c r="C35" s="1"/>
      <c r="F35" s="1"/>
      <c r="G35" s="2"/>
      <c r="H35" s="2"/>
      <c r="I35" s="50" t="s">
        <v>14</v>
      </c>
      <c r="J35" s="271"/>
      <c r="K35" s="269"/>
      <c r="L35" s="2"/>
      <c r="M35" s="48" t="s">
        <v>56</v>
      </c>
      <c r="N35" s="2"/>
      <c r="O35" s="49">
        <f>+IF($D$3&gt;0,VLOOKUP($D$3,Tablas!$F$70:$N$83,7,FALSE),"")</f>
        <v>64214</v>
      </c>
      <c r="P35" s="1"/>
      <c r="Q35" s="1" t="s">
        <v>57</v>
      </c>
      <c r="R35" s="247"/>
      <c r="S35" s="3"/>
      <c r="T35" s="3"/>
      <c r="U35" s="3"/>
      <c r="V35" s="3"/>
      <c r="W35" s="3"/>
      <c r="X35" s="3"/>
      <c r="Y35" s="3"/>
    </row>
    <row r="36" spans="2:25" ht="17.25" customHeight="1" thickBot="1" x14ac:dyDescent="0.25">
      <c r="B36" s="1"/>
      <c r="C36" s="1"/>
      <c r="F36" s="1"/>
      <c r="G36" s="2"/>
      <c r="H36" s="2"/>
      <c r="I36" s="50" t="s">
        <v>19</v>
      </c>
      <c r="J36" s="268"/>
      <c r="K36" s="269"/>
      <c r="L36" s="2"/>
      <c r="M36" s="48" t="s">
        <v>58</v>
      </c>
      <c r="N36" s="2"/>
      <c r="O36" s="49">
        <f>+IF($D$3&gt;0,VLOOKUP($D$3,Tablas!$F$70:$N$83,8,FALSE),"")</f>
        <v>94215</v>
      </c>
      <c r="P36" s="1"/>
      <c r="Q36" s="1" t="s">
        <v>59</v>
      </c>
      <c r="R36" s="247"/>
      <c r="S36" s="3"/>
      <c r="T36" s="3"/>
      <c r="U36" s="3"/>
      <c r="V36" s="3"/>
      <c r="W36" s="3"/>
      <c r="X36" s="3"/>
      <c r="Y36" s="3"/>
    </row>
    <row r="37" spans="2:25" ht="17.25" customHeight="1" thickBot="1" x14ac:dyDescent="0.25">
      <c r="B37" s="1"/>
      <c r="C37" s="1"/>
      <c r="D37" s="1"/>
      <c r="E37" s="1"/>
      <c r="F37" s="1"/>
      <c r="G37" s="2"/>
      <c r="H37" s="2"/>
      <c r="I37" s="50" t="s">
        <v>26</v>
      </c>
      <c r="J37" s="268"/>
      <c r="K37" s="269"/>
      <c r="L37" s="2"/>
      <c r="M37" s="55" t="s">
        <v>60</v>
      </c>
      <c r="N37" s="56"/>
      <c r="O37" s="57">
        <f>+IF($D$3&gt;0,VLOOKUP($D$3,Tablas!$F$70:$N$83,9,FALSE),"")</f>
        <v>53793</v>
      </c>
      <c r="P37" s="2"/>
      <c r="Q37" s="1" t="s">
        <v>61</v>
      </c>
      <c r="R37" s="247"/>
      <c r="S37" s="3"/>
      <c r="T37" s="3"/>
      <c r="U37" s="3"/>
      <c r="V37" s="3"/>
      <c r="W37" s="3"/>
      <c r="X37" s="3"/>
      <c r="Y37" s="3"/>
    </row>
    <row r="38" spans="2:25" ht="15.75" customHeight="1" thickBot="1" x14ac:dyDescent="0.25">
      <c r="B38" s="1"/>
      <c r="C38" s="1"/>
      <c r="E38" s="1"/>
      <c r="F38" s="1"/>
      <c r="G38" s="2"/>
      <c r="H38" s="2"/>
      <c r="I38" s="50" t="s">
        <v>31</v>
      </c>
      <c r="J38" s="270"/>
      <c r="K38" s="269"/>
      <c r="L38" s="2"/>
      <c r="M38" s="1"/>
      <c r="N38" s="1"/>
      <c r="O38" s="1"/>
      <c r="P38" s="1"/>
      <c r="Q38" s="1"/>
      <c r="R38" s="247"/>
      <c r="S38" s="3"/>
      <c r="T38" s="3"/>
      <c r="U38" s="3"/>
      <c r="V38" s="3"/>
      <c r="W38" s="3"/>
      <c r="X38" s="3"/>
      <c r="Y38" s="3"/>
    </row>
    <row r="39" spans="2:25" ht="12.75" customHeight="1" x14ac:dyDescent="0.2">
      <c r="B39" s="1"/>
      <c r="C39" s="1"/>
      <c r="E39" s="1"/>
      <c r="F39" s="1"/>
      <c r="G39" s="2"/>
      <c r="H39" s="2"/>
      <c r="I39" s="267" t="str">
        <f>IF(OR(J5="",E33=""),"",IF(K30="NO",IF(OR(J32="",J33="",J34="",J35=""),"",IF(AND(J32="PP",OR(J33="E",J33="F"),OR(J35="Capacitación Terciaria",J35="Agrupamiento Profesional")),"En PP, los Niveles E y F no son compatibles con Agrupamiento Profesional ni Capacitación Terciaria",Tablas!O42)),IF(K30="SÍ",IF(OR(E23="Nivel I",E23="Nivel II",E23="Nivel III",E23="Nivel IV",E24="Nivel I",E24="Nivel II",E24="Nivel III"),"Las horas extras no son compatibles con Función Ejecutiva o de Jefatura",IF(E33&gt;0,Tablas!O42,"")),Tablas!O42)))</f>
        <v/>
      </c>
      <c r="J39" s="267"/>
      <c r="K39" s="267"/>
      <c r="L39" s="267"/>
      <c r="M39" s="225" t="s">
        <v>63</v>
      </c>
      <c r="O39" s="1"/>
      <c r="P39" s="1"/>
      <c r="Q39" s="1"/>
      <c r="R39" s="247"/>
      <c r="S39" s="3"/>
      <c r="T39" s="3"/>
      <c r="U39" s="3"/>
      <c r="V39" s="3"/>
      <c r="W39" s="3"/>
      <c r="X39" s="3"/>
      <c r="Y39" s="3"/>
    </row>
    <row r="40" spans="2:25" ht="12.75" customHeight="1" x14ac:dyDescent="0.2">
      <c r="B40" s="1"/>
      <c r="C40" s="1"/>
      <c r="D40" s="1" t="s">
        <v>62</v>
      </c>
      <c r="E40" s="1"/>
      <c r="F40" s="1"/>
      <c r="G40" s="2"/>
      <c r="H40" s="2"/>
      <c r="I40" s="267"/>
      <c r="J40" s="267"/>
      <c r="K40" s="267"/>
      <c r="L40" s="267"/>
      <c r="M40" s="59">
        <v>0.4</v>
      </c>
      <c r="N40" s="60" t="s">
        <v>65</v>
      </c>
      <c r="O40" s="1"/>
      <c r="P40" s="1"/>
      <c r="Q40" s="1"/>
      <c r="R40" s="247"/>
      <c r="S40" s="3"/>
      <c r="T40" s="3"/>
      <c r="U40" s="3"/>
      <c r="V40" s="3"/>
      <c r="W40" s="3"/>
      <c r="X40" s="3"/>
      <c r="Y40" s="3"/>
    </row>
    <row r="41" spans="2:25" ht="12.75" customHeight="1" x14ac:dyDescent="0.2">
      <c r="B41" s="1"/>
      <c r="C41" s="1"/>
      <c r="D41" s="58" t="s">
        <v>64</v>
      </c>
      <c r="E41" s="1"/>
      <c r="F41" s="1"/>
      <c r="G41" s="2"/>
      <c r="H41" s="2"/>
      <c r="I41" s="2"/>
      <c r="J41" s="2"/>
      <c r="K41" s="2"/>
      <c r="L41" s="2"/>
      <c r="M41" s="59">
        <v>0.2</v>
      </c>
      <c r="N41" s="60" t="s">
        <v>67</v>
      </c>
      <c r="O41" s="1"/>
      <c r="P41" s="1"/>
      <c r="Q41" s="1"/>
      <c r="R41" s="247"/>
      <c r="S41" s="3"/>
      <c r="T41" s="3"/>
      <c r="U41" s="3"/>
      <c r="V41" s="3"/>
      <c r="W41" s="3"/>
      <c r="X41" s="3"/>
      <c r="Y41" s="3"/>
    </row>
    <row r="42" spans="2:25" ht="12.75" customHeight="1" x14ac:dyDescent="0.2">
      <c r="B42" s="1"/>
      <c r="C42" s="1"/>
      <c r="D42" s="58" t="s">
        <v>66</v>
      </c>
      <c r="E42" s="1"/>
      <c r="F42" s="1"/>
      <c r="G42" s="2"/>
      <c r="H42" s="2"/>
      <c r="I42" s="2"/>
      <c r="J42" s="2"/>
      <c r="K42" s="2"/>
      <c r="L42" s="2"/>
      <c r="M42" s="59">
        <v>0.25</v>
      </c>
      <c r="N42" s="60" t="s">
        <v>69</v>
      </c>
      <c r="O42" s="1"/>
      <c r="P42" s="1"/>
      <c r="Q42" s="1"/>
      <c r="R42" s="247"/>
      <c r="S42" s="3"/>
      <c r="T42" s="3"/>
      <c r="U42" s="3"/>
      <c r="V42" s="3"/>
      <c r="W42" s="3"/>
      <c r="X42" s="3"/>
      <c r="Y42" s="3"/>
    </row>
    <row r="43" spans="2:25" ht="12.75" customHeight="1" x14ac:dyDescent="0.2">
      <c r="B43" s="1"/>
      <c r="C43" s="1"/>
      <c r="D43" s="61" t="s">
        <v>68</v>
      </c>
      <c r="E43" s="1"/>
      <c r="F43" s="1"/>
      <c r="G43" s="2"/>
      <c r="H43" s="2"/>
      <c r="I43" s="2"/>
      <c r="J43" s="2"/>
      <c r="K43" s="2"/>
      <c r="L43" s="2"/>
      <c r="M43" s="59">
        <v>0.1</v>
      </c>
      <c r="N43" s="60" t="s">
        <v>71</v>
      </c>
      <c r="O43" s="1"/>
      <c r="P43" s="1"/>
      <c r="Q43" s="1"/>
      <c r="R43" s="247"/>
      <c r="S43" s="3"/>
      <c r="T43" s="3"/>
      <c r="U43" s="3"/>
      <c r="V43" s="3"/>
      <c r="W43" s="3"/>
      <c r="X43" s="3"/>
      <c r="Y43" s="3"/>
    </row>
    <row r="44" spans="2:25" ht="12.75" customHeight="1" x14ac:dyDescent="0.2">
      <c r="B44" s="1"/>
      <c r="C44" s="1"/>
      <c r="D44" s="1" t="s">
        <v>70</v>
      </c>
      <c r="E44" s="1"/>
      <c r="F44" s="1"/>
      <c r="G44" s="2"/>
      <c r="H44" s="2"/>
      <c r="I44" s="2"/>
      <c r="J44" s="2"/>
      <c r="K44" s="2"/>
      <c r="L44" s="2"/>
      <c r="M44" s="62">
        <v>7.4999999999999997E-2</v>
      </c>
      <c r="N44" s="60" t="s">
        <v>73</v>
      </c>
      <c r="O44" s="1"/>
      <c r="P44" s="1"/>
      <c r="Q44" s="1"/>
      <c r="R44" s="247"/>
      <c r="S44" s="3"/>
      <c r="T44" s="3"/>
      <c r="U44" s="3"/>
      <c r="V44" s="3"/>
      <c r="W44" s="3"/>
      <c r="X44" s="3"/>
      <c r="Y44" s="3"/>
    </row>
    <row r="45" spans="2:25" ht="12.75" customHeight="1" x14ac:dyDescent="0.2">
      <c r="B45" s="1"/>
      <c r="C45" s="1"/>
      <c r="D45" s="58" t="s">
        <v>72</v>
      </c>
      <c r="E45" s="1"/>
      <c r="F45" s="1"/>
      <c r="G45" s="2"/>
      <c r="H45" s="2"/>
      <c r="I45" s="2"/>
      <c r="J45" s="2"/>
      <c r="K45" s="2"/>
      <c r="L45" s="2"/>
      <c r="M45" s="59">
        <v>0.5</v>
      </c>
      <c r="N45" s="60" t="s">
        <v>75</v>
      </c>
      <c r="O45" s="1"/>
      <c r="P45" s="1"/>
      <c r="Q45" s="1"/>
      <c r="R45" s="247"/>
      <c r="S45" s="3"/>
      <c r="T45" s="3"/>
      <c r="U45" s="3"/>
      <c r="V45" s="3"/>
      <c r="W45" s="3"/>
      <c r="X45" s="3"/>
      <c r="Y45" s="3"/>
    </row>
    <row r="46" spans="2:25" ht="12.75" customHeight="1" x14ac:dyDescent="0.2">
      <c r="B46" s="1"/>
      <c r="C46" s="1"/>
      <c r="D46" s="1" t="s">
        <v>74</v>
      </c>
      <c r="E46" s="1"/>
      <c r="F46" s="1"/>
      <c r="G46" s="2"/>
      <c r="H46" s="2"/>
      <c r="I46" s="2"/>
      <c r="J46" s="2"/>
      <c r="K46" s="2"/>
      <c r="L46" s="2"/>
      <c r="M46" s="59">
        <v>0</v>
      </c>
      <c r="N46" s="60" t="s">
        <v>254</v>
      </c>
      <c r="O46" s="1"/>
      <c r="P46" s="1"/>
      <c r="Q46" s="1"/>
      <c r="R46" s="247"/>
      <c r="S46" s="3"/>
      <c r="T46" s="3"/>
      <c r="U46" s="3"/>
      <c r="V46" s="3"/>
      <c r="W46" s="3"/>
      <c r="X46" s="3"/>
      <c r="Y46" s="3"/>
    </row>
    <row r="47" spans="2:25" ht="12.75" customHeight="1" x14ac:dyDescent="0.2">
      <c r="B47" s="1"/>
      <c r="C47" s="1"/>
      <c r="D47" s="58" t="s">
        <v>76</v>
      </c>
      <c r="E47" s="1"/>
      <c r="F47" s="1"/>
      <c r="G47" s="2"/>
      <c r="H47" s="2"/>
      <c r="I47" s="2"/>
      <c r="J47" s="2"/>
      <c r="K47" s="2"/>
      <c r="L47" s="2"/>
      <c r="M47" s="2"/>
      <c r="N47" s="1"/>
      <c r="O47" s="1"/>
      <c r="P47" s="1"/>
      <c r="Q47" s="1"/>
      <c r="R47" s="247"/>
      <c r="S47" s="3"/>
      <c r="T47" s="3"/>
      <c r="U47" s="3"/>
      <c r="V47" s="3"/>
      <c r="W47" s="3"/>
      <c r="X47" s="3"/>
      <c r="Y47" s="3"/>
    </row>
    <row r="48" spans="2:25" ht="12.75" customHeight="1" x14ac:dyDescent="0.2">
      <c r="B48" s="1"/>
      <c r="C48" s="1"/>
      <c r="D48" s="1" t="s">
        <v>77</v>
      </c>
      <c r="E48" s="1"/>
      <c r="F48" s="1"/>
      <c r="G48" s="2"/>
      <c r="H48" s="2"/>
      <c r="I48" s="2"/>
      <c r="J48" s="2"/>
      <c r="K48" s="2"/>
      <c r="L48" s="2"/>
      <c r="M48" s="225" t="s">
        <v>79</v>
      </c>
      <c r="N48" s="1"/>
      <c r="O48" s="1"/>
      <c r="P48" s="1"/>
      <c r="Q48" s="1"/>
      <c r="R48" s="247"/>
      <c r="S48" s="3"/>
      <c r="T48" s="3"/>
      <c r="U48" s="3"/>
      <c r="V48" s="3"/>
      <c r="W48" s="3"/>
      <c r="X48" s="3"/>
      <c r="Y48" s="3"/>
    </row>
    <row r="49" spans="2:25" ht="12.75" customHeight="1" x14ac:dyDescent="0.2">
      <c r="B49" s="1"/>
      <c r="C49" s="1"/>
      <c r="D49" s="1" t="s">
        <v>78</v>
      </c>
      <c r="E49" s="1"/>
      <c r="F49" s="1"/>
      <c r="G49" s="2"/>
      <c r="H49" s="2"/>
      <c r="I49" s="2"/>
      <c r="J49" s="2"/>
      <c r="K49" s="2"/>
      <c r="L49" s="2"/>
      <c r="M49" s="63">
        <v>0.15</v>
      </c>
      <c r="N49" s="60" t="s">
        <v>81</v>
      </c>
      <c r="O49" s="1"/>
      <c r="P49" s="1"/>
      <c r="Q49" s="1"/>
      <c r="R49" s="247"/>
      <c r="S49" s="3"/>
      <c r="T49" s="3"/>
      <c r="U49" s="3"/>
      <c r="V49" s="3"/>
      <c r="W49" s="3"/>
      <c r="X49" s="3"/>
      <c r="Y49" s="3"/>
    </row>
    <row r="50" spans="2:25" ht="12.75" customHeight="1" x14ac:dyDescent="0.2">
      <c r="B50" s="1"/>
      <c r="C50" s="1"/>
      <c r="D50" s="3" t="s">
        <v>80</v>
      </c>
      <c r="E50" s="1"/>
      <c r="F50" s="1"/>
      <c r="G50" s="2"/>
      <c r="H50" s="2"/>
      <c r="I50" s="2"/>
      <c r="J50" s="2"/>
      <c r="K50" s="2"/>
      <c r="L50" s="2"/>
      <c r="M50" s="63">
        <v>0.3</v>
      </c>
      <c r="N50" s="60" t="s">
        <v>83</v>
      </c>
      <c r="O50" s="1"/>
      <c r="P50" s="1"/>
      <c r="Q50" s="1"/>
      <c r="R50" s="247"/>
      <c r="S50" s="3"/>
      <c r="T50" s="3"/>
      <c r="U50" s="3"/>
      <c r="V50" s="3"/>
      <c r="W50" s="3"/>
      <c r="X50" s="3"/>
      <c r="Y50" s="3"/>
    </row>
    <row r="51" spans="2:25" ht="12.75" customHeight="1" x14ac:dyDescent="0.2">
      <c r="B51" s="1"/>
      <c r="C51" s="1"/>
      <c r="D51" s="1" t="s">
        <v>82</v>
      </c>
      <c r="E51" s="1"/>
      <c r="F51" s="1"/>
      <c r="G51" s="2"/>
      <c r="H51" s="2"/>
      <c r="I51" s="2"/>
      <c r="J51" s="2"/>
      <c r="K51" s="2"/>
      <c r="L51" s="2"/>
      <c r="M51" s="63">
        <v>0.45</v>
      </c>
      <c r="N51" s="60" t="s">
        <v>84</v>
      </c>
      <c r="O51" s="1"/>
      <c r="P51" s="1"/>
      <c r="Q51" s="1"/>
      <c r="R51" s="247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"/>
      <c r="C52" s="1"/>
      <c r="D52" s="1" t="s">
        <v>255</v>
      </c>
      <c r="E52" s="1"/>
      <c r="F52" s="1"/>
      <c r="G52" s="2"/>
      <c r="H52" s="2"/>
      <c r="I52" s="2"/>
      <c r="J52" s="2"/>
      <c r="K52" s="2"/>
      <c r="L52" s="2"/>
      <c r="M52" s="63">
        <v>0.45</v>
      </c>
      <c r="N52" s="60" t="s">
        <v>85</v>
      </c>
      <c r="O52" s="1"/>
      <c r="P52" s="1"/>
      <c r="Q52" s="1"/>
      <c r="R52" s="247"/>
      <c r="S52" s="3"/>
      <c r="T52" s="3"/>
      <c r="U52" s="3"/>
      <c r="V52" s="3"/>
      <c r="W52" s="3"/>
      <c r="X52" s="3"/>
      <c r="Y52" s="3"/>
    </row>
    <row r="53" spans="2:25" ht="12.75" customHeight="1" x14ac:dyDescent="0.2">
      <c r="B53" s="1"/>
      <c r="C53" s="1"/>
      <c r="D53" s="1" t="s">
        <v>256</v>
      </c>
      <c r="E53" s="1"/>
      <c r="F53" s="1"/>
      <c r="G53" s="2"/>
      <c r="H53" s="2"/>
      <c r="I53" s="2"/>
      <c r="J53" s="2"/>
      <c r="K53" s="2"/>
      <c r="L53" s="2"/>
      <c r="M53" s="63">
        <v>0.55000000000000004</v>
      </c>
      <c r="N53" s="60" t="s">
        <v>87</v>
      </c>
      <c r="O53" s="1"/>
      <c r="P53" s="1"/>
      <c r="Q53" s="1"/>
      <c r="R53" s="247"/>
      <c r="S53" s="3"/>
      <c r="T53" s="3"/>
      <c r="U53" s="3"/>
      <c r="V53" s="3"/>
      <c r="W53" s="3"/>
      <c r="X53" s="3"/>
      <c r="Y53" s="3"/>
    </row>
    <row r="54" spans="2:25" ht="12.75" customHeight="1" x14ac:dyDescent="0.2">
      <c r="B54" s="1"/>
      <c r="C54" s="1"/>
      <c r="D54" s="1" t="s">
        <v>86</v>
      </c>
      <c r="E54" s="1"/>
      <c r="F54" s="1"/>
      <c r="G54" s="2"/>
      <c r="H54" s="2"/>
      <c r="I54" s="2"/>
      <c r="J54" s="2"/>
      <c r="K54" s="2"/>
      <c r="L54" s="2"/>
      <c r="M54" s="63">
        <v>0.65</v>
      </c>
      <c r="N54" s="60" t="s">
        <v>89</v>
      </c>
      <c r="O54" s="1"/>
      <c r="P54" s="1"/>
      <c r="Q54" s="1"/>
      <c r="R54" s="247"/>
      <c r="S54" s="3"/>
      <c r="T54" s="3"/>
      <c r="U54" s="3"/>
      <c r="V54" s="3"/>
      <c r="W54" s="3"/>
      <c r="X54" s="3"/>
      <c r="Y54" s="3"/>
    </row>
    <row r="55" spans="2:25" ht="12.75" customHeight="1" x14ac:dyDescent="0.2">
      <c r="B55" s="1"/>
      <c r="C55" s="1"/>
      <c r="D55" s="3" t="s">
        <v>88</v>
      </c>
      <c r="E55" s="1"/>
      <c r="F55" s="1"/>
      <c r="G55" s="2"/>
      <c r="H55" s="2"/>
      <c r="I55" s="2"/>
      <c r="J55" s="2"/>
      <c r="K55" s="2"/>
      <c r="L55" s="2"/>
      <c r="M55" s="63">
        <v>0.75</v>
      </c>
      <c r="N55" s="60" t="s">
        <v>91</v>
      </c>
      <c r="O55" s="1"/>
      <c r="P55" s="1"/>
      <c r="Q55" s="1"/>
      <c r="R55" s="247"/>
      <c r="S55" s="3"/>
      <c r="T55" s="3"/>
      <c r="U55" s="3"/>
      <c r="V55" s="3"/>
      <c r="W55" s="3"/>
      <c r="X55" s="3"/>
      <c r="Y55" s="3"/>
    </row>
    <row r="56" spans="2:25" ht="12.75" customHeight="1" x14ac:dyDescent="0.2">
      <c r="B56" s="1"/>
      <c r="C56" s="1"/>
      <c r="D56" s="1" t="s">
        <v>90</v>
      </c>
      <c r="E56" s="1"/>
      <c r="F56" s="1"/>
      <c r="G56" s="2"/>
      <c r="H56" s="2"/>
      <c r="I56" s="2"/>
      <c r="J56" s="2"/>
      <c r="K56" s="2"/>
      <c r="L56" s="2"/>
      <c r="M56" s="63">
        <v>0.85</v>
      </c>
      <c r="N56" s="60" t="s">
        <v>92</v>
      </c>
      <c r="O56" s="1"/>
      <c r="P56" s="1"/>
      <c r="Q56" s="1"/>
      <c r="R56" s="247"/>
      <c r="S56" s="3"/>
      <c r="T56" s="3"/>
      <c r="U56" s="3"/>
      <c r="V56" s="3"/>
      <c r="W56" s="3"/>
      <c r="X56" s="3"/>
      <c r="Y56" s="3"/>
    </row>
    <row r="57" spans="2:25" ht="12.75" customHeight="1" x14ac:dyDescent="0.2"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N57" s="1"/>
      <c r="O57" s="1"/>
      <c r="P57" s="1"/>
      <c r="Q57" s="1"/>
      <c r="R57" s="247"/>
      <c r="S57" s="3"/>
      <c r="T57" s="3"/>
      <c r="U57" s="3"/>
      <c r="V57" s="3"/>
      <c r="W57" s="3"/>
      <c r="X57" s="3"/>
      <c r="Y57" s="3"/>
    </row>
    <row r="58" spans="2:25" ht="12.75" customHeight="1" x14ac:dyDescent="0.2"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3"/>
      <c r="N58" s="1"/>
      <c r="O58" s="1"/>
      <c r="P58" s="1"/>
      <c r="Q58" s="1"/>
      <c r="R58" s="247"/>
      <c r="S58" s="3"/>
      <c r="T58" s="3"/>
      <c r="U58" s="3"/>
      <c r="V58" s="3"/>
      <c r="W58" s="3"/>
      <c r="X58" s="3"/>
      <c r="Y58" s="3"/>
    </row>
    <row r="59" spans="2:25" ht="12.75" customHeight="1" x14ac:dyDescent="0.2"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1"/>
      <c r="N59" s="1"/>
      <c r="O59" s="1"/>
      <c r="P59" s="1"/>
      <c r="Q59" s="1"/>
      <c r="R59" s="247"/>
      <c r="S59" s="3"/>
      <c r="T59" s="3"/>
      <c r="U59" s="3"/>
      <c r="V59" s="3"/>
      <c r="W59" s="3"/>
      <c r="X59" s="3"/>
      <c r="Y59" s="3"/>
    </row>
    <row r="60" spans="2:25" ht="12.75" customHeight="1" x14ac:dyDescent="0.2"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1"/>
      <c r="N60" s="1"/>
      <c r="O60" s="1"/>
      <c r="P60" s="1"/>
      <c r="Q60" s="1"/>
      <c r="R60" s="247"/>
      <c r="S60" s="3"/>
      <c r="T60" s="3"/>
      <c r="U60" s="3"/>
      <c r="V60" s="3"/>
      <c r="W60" s="3"/>
      <c r="X60" s="3"/>
      <c r="Y60" s="3"/>
    </row>
    <row r="61" spans="2:25" ht="12.75" customHeight="1" x14ac:dyDescent="0.2"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1"/>
      <c r="N61" s="1"/>
      <c r="O61" s="1"/>
      <c r="P61" s="1"/>
      <c r="Q61" s="1"/>
      <c r="R61" s="247"/>
      <c r="S61" s="3"/>
      <c r="T61" s="3"/>
      <c r="U61" s="3"/>
      <c r="V61" s="3"/>
      <c r="W61" s="3"/>
      <c r="X61" s="3"/>
      <c r="Y61" s="3"/>
    </row>
    <row r="62" spans="2:25" ht="12.75" customHeight="1" x14ac:dyDescent="0.2"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1"/>
      <c r="N62" s="1"/>
      <c r="O62" s="1"/>
      <c r="P62" s="1"/>
      <c r="Q62" s="1"/>
      <c r="R62" s="247"/>
      <c r="S62" s="3"/>
      <c r="T62" s="3"/>
      <c r="U62" s="3"/>
      <c r="V62" s="3"/>
      <c r="W62" s="3"/>
      <c r="X62" s="3"/>
      <c r="Y62" s="3"/>
    </row>
    <row r="63" spans="2:25" ht="12.75" customHeight="1" x14ac:dyDescent="0.2"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1"/>
      <c r="N63" s="1"/>
      <c r="O63" s="1"/>
      <c r="P63" s="1"/>
      <c r="Q63" s="1"/>
      <c r="R63" s="247"/>
      <c r="S63" s="3"/>
      <c r="T63" s="3"/>
      <c r="U63" s="3"/>
      <c r="V63" s="3"/>
      <c r="W63" s="3"/>
      <c r="X63" s="3"/>
      <c r="Y63" s="3"/>
    </row>
    <row r="64" spans="2:25" ht="12.75" customHeight="1" x14ac:dyDescent="0.2"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1"/>
      <c r="N64" s="1"/>
      <c r="O64" s="1"/>
      <c r="P64" s="1"/>
      <c r="Q64" s="1"/>
      <c r="R64" s="247"/>
      <c r="S64" s="3"/>
      <c r="T64" s="3"/>
      <c r="U64" s="3"/>
      <c r="V64" s="3"/>
      <c r="W64" s="3"/>
      <c r="X64" s="3"/>
      <c r="Y64" s="3"/>
    </row>
    <row r="65" spans="2:25" ht="12.75" customHeight="1" x14ac:dyDescent="0.2"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247"/>
      <c r="S65" s="3"/>
      <c r="T65" s="3"/>
      <c r="U65" s="3"/>
      <c r="V65" s="3"/>
      <c r="W65" s="3"/>
      <c r="X65" s="3"/>
      <c r="Y65" s="3"/>
    </row>
    <row r="66" spans="2:25" ht="12.75" customHeight="1" x14ac:dyDescent="0.2"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1"/>
      <c r="N66" s="1"/>
      <c r="O66" s="1"/>
      <c r="P66" s="1"/>
      <c r="Q66" s="1"/>
      <c r="R66" s="247"/>
      <c r="S66" s="3"/>
      <c r="T66" s="3"/>
      <c r="U66" s="3"/>
      <c r="V66" s="3"/>
      <c r="W66" s="3"/>
      <c r="X66" s="3"/>
      <c r="Y66" s="3"/>
    </row>
    <row r="67" spans="2:25" ht="12.75" customHeight="1" x14ac:dyDescent="0.2"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1"/>
      <c r="N67" s="1"/>
      <c r="O67" s="1"/>
      <c r="P67" s="1"/>
      <c r="Q67" s="1"/>
      <c r="R67" s="247"/>
      <c r="S67" s="3"/>
      <c r="T67" s="3"/>
      <c r="U67" s="3"/>
      <c r="V67" s="3"/>
      <c r="W67" s="3"/>
      <c r="X67" s="3"/>
      <c r="Y67" s="3"/>
    </row>
    <row r="68" spans="2:25" ht="12.75" customHeight="1" x14ac:dyDescent="0.2"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1"/>
      <c r="N68" s="1"/>
      <c r="O68" s="1"/>
      <c r="P68" s="1"/>
      <c r="Q68" s="1"/>
      <c r="R68" s="247"/>
      <c r="S68" s="3"/>
      <c r="T68" s="3"/>
      <c r="U68" s="3"/>
      <c r="V68" s="3"/>
      <c r="W68" s="3"/>
      <c r="X68" s="3"/>
      <c r="Y68" s="3"/>
    </row>
    <row r="69" spans="2:25" ht="12.75" customHeight="1" x14ac:dyDescent="0.2"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1"/>
      <c r="N69" s="1"/>
      <c r="O69" s="1"/>
      <c r="P69" s="1"/>
      <c r="Q69" s="1"/>
      <c r="R69" s="247"/>
      <c r="S69" s="3"/>
      <c r="T69" s="3"/>
      <c r="U69" s="3"/>
      <c r="V69" s="3"/>
      <c r="W69" s="3"/>
      <c r="X69" s="3"/>
      <c r="Y69" s="3"/>
    </row>
    <row r="70" spans="2:25" ht="12.75" customHeight="1" x14ac:dyDescent="0.2"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1"/>
      <c r="N70" s="1"/>
      <c r="O70" s="1"/>
      <c r="P70" s="1"/>
      <c r="Q70" s="1"/>
      <c r="R70" s="247"/>
      <c r="S70" s="3"/>
      <c r="T70" s="3"/>
      <c r="U70" s="3"/>
      <c r="V70" s="3"/>
      <c r="W70" s="3"/>
      <c r="X70" s="3"/>
      <c r="Y70" s="3"/>
    </row>
    <row r="71" spans="2:25" ht="12.75" customHeight="1" x14ac:dyDescent="0.2"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1"/>
      <c r="N71" s="1"/>
      <c r="O71" s="1"/>
      <c r="P71" s="1"/>
      <c r="Q71" s="1"/>
      <c r="R71" s="247"/>
      <c r="S71" s="3"/>
      <c r="T71" s="3"/>
      <c r="U71" s="3"/>
      <c r="V71" s="3"/>
      <c r="W71" s="3"/>
      <c r="X71" s="3"/>
      <c r="Y71" s="3"/>
    </row>
    <row r="72" spans="2:25" ht="12.75" customHeight="1" x14ac:dyDescent="0.2"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1"/>
      <c r="N72" s="1"/>
      <c r="O72" s="1"/>
      <c r="P72" s="1"/>
      <c r="Q72" s="1"/>
      <c r="R72" s="247"/>
      <c r="S72" s="3"/>
      <c r="T72" s="3"/>
      <c r="U72" s="3"/>
      <c r="V72" s="3"/>
      <c r="W72" s="3"/>
      <c r="X72" s="3"/>
      <c r="Y72" s="3"/>
    </row>
    <row r="73" spans="2:25" ht="12.75" customHeight="1" x14ac:dyDescent="0.2"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1"/>
      <c r="N73" s="1"/>
      <c r="O73" s="1"/>
      <c r="P73" s="1"/>
      <c r="Q73" s="1"/>
      <c r="R73" s="247"/>
      <c r="S73" s="3"/>
      <c r="T73" s="3"/>
      <c r="U73" s="3"/>
      <c r="V73" s="3"/>
      <c r="W73" s="3"/>
      <c r="X73" s="3"/>
      <c r="Y73" s="3"/>
    </row>
    <row r="74" spans="2:25" ht="12.75" customHeight="1" x14ac:dyDescent="0.2"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1"/>
      <c r="N74" s="1"/>
      <c r="O74" s="1"/>
      <c r="P74" s="1"/>
      <c r="Q74" s="1"/>
      <c r="R74" s="247"/>
      <c r="S74" s="3"/>
      <c r="T74" s="3"/>
      <c r="U74" s="3"/>
      <c r="V74" s="3"/>
      <c r="W74" s="3"/>
      <c r="X74" s="3"/>
      <c r="Y74" s="3"/>
    </row>
    <row r="75" spans="2:25" ht="12.75" customHeight="1" x14ac:dyDescent="0.2"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1"/>
      <c r="N75" s="1"/>
      <c r="O75" s="1"/>
      <c r="P75" s="1"/>
      <c r="Q75" s="1"/>
      <c r="R75" s="247"/>
      <c r="S75" s="3"/>
      <c r="T75" s="3"/>
      <c r="U75" s="3"/>
      <c r="V75" s="3"/>
      <c r="W75" s="3"/>
      <c r="X75" s="3"/>
      <c r="Y75" s="3"/>
    </row>
    <row r="76" spans="2:25" ht="12.75" customHeight="1" x14ac:dyDescent="0.2"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1"/>
      <c r="N76" s="1"/>
      <c r="O76" s="1"/>
      <c r="P76" s="1"/>
      <c r="Q76" s="1"/>
      <c r="R76" s="247"/>
      <c r="S76" s="3"/>
      <c r="T76" s="3"/>
      <c r="U76" s="3"/>
      <c r="V76" s="3"/>
      <c r="W76" s="3"/>
      <c r="X76" s="3"/>
      <c r="Y76" s="3"/>
    </row>
    <row r="77" spans="2:25" ht="12.75" customHeight="1" x14ac:dyDescent="0.2"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1"/>
      <c r="N77" s="1"/>
      <c r="O77" s="1"/>
      <c r="P77" s="1"/>
      <c r="Q77" s="1"/>
      <c r="R77" s="247"/>
      <c r="S77" s="3"/>
      <c r="T77" s="3"/>
      <c r="U77" s="3"/>
      <c r="V77" s="3"/>
      <c r="W77" s="3"/>
      <c r="X77" s="3"/>
      <c r="Y77" s="3"/>
    </row>
    <row r="78" spans="2:25" ht="12.75" customHeight="1" x14ac:dyDescent="0.2"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1"/>
      <c r="N78" s="1"/>
      <c r="O78" s="1"/>
      <c r="P78" s="1"/>
      <c r="Q78" s="1"/>
      <c r="R78" s="247"/>
      <c r="S78" s="3"/>
      <c r="T78" s="3"/>
      <c r="U78" s="3"/>
      <c r="V78" s="3"/>
      <c r="W78" s="3"/>
      <c r="X78" s="3"/>
      <c r="Y78" s="3"/>
    </row>
    <row r="79" spans="2:25" ht="12.75" customHeight="1" x14ac:dyDescent="0.2"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1"/>
      <c r="N79" s="1"/>
      <c r="O79" s="1"/>
      <c r="P79" s="1"/>
      <c r="Q79" s="1"/>
      <c r="R79" s="247"/>
      <c r="S79" s="3"/>
      <c r="T79" s="3"/>
      <c r="U79" s="3"/>
      <c r="V79" s="3"/>
      <c r="W79" s="3"/>
      <c r="X79" s="3"/>
      <c r="Y79" s="3"/>
    </row>
    <row r="80" spans="2:25" ht="12.75" customHeight="1" x14ac:dyDescent="0.2"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1"/>
      <c r="N80" s="1"/>
      <c r="O80" s="1"/>
      <c r="P80" s="1"/>
      <c r="Q80" s="1"/>
      <c r="R80" s="247"/>
      <c r="S80" s="3"/>
      <c r="T80" s="3"/>
      <c r="U80" s="3"/>
      <c r="V80" s="3"/>
      <c r="W80" s="3"/>
      <c r="X80" s="3"/>
      <c r="Y80" s="3"/>
    </row>
    <row r="81" spans="2:25" ht="12.75" customHeight="1" x14ac:dyDescent="0.2"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1"/>
      <c r="N81" s="1"/>
      <c r="O81" s="1"/>
      <c r="P81" s="1"/>
      <c r="Q81" s="1"/>
      <c r="R81" s="247"/>
      <c r="S81" s="3"/>
      <c r="T81" s="3"/>
      <c r="U81" s="3"/>
      <c r="V81" s="3"/>
      <c r="W81" s="3"/>
      <c r="X81" s="3"/>
      <c r="Y81" s="3"/>
    </row>
    <row r="82" spans="2:25" ht="12.75" customHeight="1" x14ac:dyDescent="0.2"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1"/>
      <c r="N82" s="1"/>
      <c r="O82" s="1"/>
      <c r="P82" s="1"/>
      <c r="Q82" s="1"/>
      <c r="R82" s="247"/>
      <c r="S82" s="3"/>
      <c r="T82" s="3"/>
      <c r="U82" s="3"/>
      <c r="V82" s="3"/>
      <c r="W82" s="3"/>
      <c r="X82" s="3"/>
      <c r="Y82" s="3"/>
    </row>
    <row r="83" spans="2:25" ht="12.75" customHeight="1" x14ac:dyDescent="0.2"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1"/>
      <c r="N83" s="1"/>
      <c r="O83" s="1"/>
      <c r="P83" s="1"/>
      <c r="Q83" s="1"/>
      <c r="R83" s="247"/>
      <c r="S83" s="3"/>
      <c r="T83" s="3"/>
      <c r="U83" s="3"/>
      <c r="V83" s="3"/>
      <c r="W83" s="3"/>
      <c r="X83" s="3"/>
      <c r="Y83" s="3"/>
    </row>
    <row r="84" spans="2:25" ht="12.75" customHeight="1" x14ac:dyDescent="0.2"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1"/>
      <c r="N84" s="1"/>
      <c r="O84" s="1"/>
      <c r="P84" s="1"/>
      <c r="Q84" s="1"/>
      <c r="R84" s="247"/>
      <c r="S84" s="3"/>
      <c r="T84" s="3"/>
      <c r="U84" s="3"/>
      <c r="V84" s="3"/>
      <c r="W84" s="3"/>
      <c r="X84" s="3"/>
      <c r="Y84" s="3"/>
    </row>
    <row r="85" spans="2:25" ht="12.75" customHeight="1" x14ac:dyDescent="0.2"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1"/>
      <c r="N85" s="1"/>
      <c r="O85" s="1"/>
      <c r="P85" s="1"/>
      <c r="Q85" s="1"/>
      <c r="R85" s="247"/>
      <c r="S85" s="3"/>
      <c r="T85" s="3"/>
      <c r="U85" s="3"/>
      <c r="V85" s="3"/>
      <c r="W85" s="3"/>
      <c r="X85" s="3"/>
      <c r="Y85" s="3"/>
    </row>
    <row r="86" spans="2:25" ht="12.75" customHeight="1" x14ac:dyDescent="0.2"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1"/>
      <c r="N86" s="1"/>
      <c r="O86" s="1"/>
      <c r="P86" s="1"/>
      <c r="Q86" s="1"/>
      <c r="R86" s="247"/>
      <c r="S86" s="3"/>
      <c r="T86" s="3"/>
      <c r="U86" s="3"/>
      <c r="V86" s="3"/>
      <c r="W86" s="3"/>
      <c r="X86" s="3"/>
      <c r="Y86" s="3"/>
    </row>
    <row r="87" spans="2:25" ht="12.75" customHeight="1" x14ac:dyDescent="0.2"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1"/>
      <c r="N87" s="1"/>
      <c r="O87" s="1"/>
      <c r="P87" s="1"/>
      <c r="Q87" s="1"/>
      <c r="R87" s="247"/>
      <c r="S87" s="3"/>
      <c r="T87" s="3"/>
      <c r="U87" s="3"/>
      <c r="V87" s="3"/>
      <c r="W87" s="3"/>
      <c r="X87" s="3"/>
      <c r="Y87" s="3"/>
    </row>
    <row r="88" spans="2:25" ht="12.75" customHeight="1" x14ac:dyDescent="0.2"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1"/>
      <c r="N88" s="1"/>
      <c r="O88" s="1"/>
      <c r="P88" s="1"/>
      <c r="Q88" s="1"/>
      <c r="R88" s="247"/>
      <c r="S88" s="3"/>
      <c r="T88" s="3"/>
      <c r="U88" s="3"/>
      <c r="V88" s="3"/>
      <c r="W88" s="3"/>
      <c r="X88" s="3"/>
      <c r="Y88" s="3"/>
    </row>
    <row r="89" spans="2:25" ht="12.75" customHeight="1" x14ac:dyDescent="0.2"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1"/>
      <c r="N89" s="1"/>
      <c r="O89" s="1"/>
      <c r="P89" s="1"/>
      <c r="Q89" s="1"/>
      <c r="R89" s="247"/>
      <c r="S89" s="3"/>
      <c r="T89" s="3"/>
      <c r="U89" s="3"/>
      <c r="V89" s="3"/>
      <c r="W89" s="3"/>
      <c r="X89" s="3"/>
      <c r="Y89" s="3"/>
    </row>
    <row r="90" spans="2:25" ht="12.75" customHeight="1" x14ac:dyDescent="0.2"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1"/>
      <c r="N90" s="1"/>
      <c r="O90" s="1"/>
      <c r="P90" s="1"/>
      <c r="Q90" s="1"/>
      <c r="R90" s="247"/>
      <c r="S90" s="3"/>
      <c r="T90" s="3"/>
      <c r="U90" s="3"/>
      <c r="V90" s="3"/>
      <c r="W90" s="3"/>
      <c r="X90" s="3"/>
      <c r="Y90" s="3"/>
    </row>
    <row r="91" spans="2:25" ht="12.75" customHeight="1" x14ac:dyDescent="0.2"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1"/>
      <c r="N91" s="1"/>
      <c r="O91" s="1"/>
      <c r="P91" s="1"/>
      <c r="Q91" s="1"/>
      <c r="R91" s="247"/>
      <c r="S91" s="3"/>
      <c r="T91" s="3"/>
      <c r="U91" s="3"/>
      <c r="V91" s="3"/>
      <c r="W91" s="3"/>
      <c r="X91" s="3"/>
      <c r="Y91" s="3"/>
    </row>
    <row r="92" spans="2:25" ht="12.75" customHeight="1" x14ac:dyDescent="0.2"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1"/>
      <c r="N92" s="1"/>
      <c r="O92" s="1"/>
      <c r="P92" s="1"/>
      <c r="Q92" s="1"/>
      <c r="R92" s="247"/>
      <c r="S92" s="3"/>
      <c r="T92" s="3"/>
      <c r="U92" s="3"/>
      <c r="V92" s="3"/>
      <c r="W92" s="3"/>
      <c r="X92" s="3"/>
      <c r="Y92" s="3"/>
    </row>
    <row r="93" spans="2:25" ht="12.75" customHeight="1" x14ac:dyDescent="0.2"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1"/>
      <c r="N93" s="1"/>
      <c r="O93" s="1"/>
      <c r="P93" s="1"/>
      <c r="Q93" s="1"/>
      <c r="R93" s="247"/>
      <c r="S93" s="3"/>
      <c r="T93" s="3"/>
      <c r="U93" s="3"/>
      <c r="V93" s="3"/>
      <c r="W93" s="3"/>
      <c r="X93" s="3"/>
      <c r="Y93" s="3"/>
    </row>
    <row r="94" spans="2:25" ht="12.75" customHeight="1" x14ac:dyDescent="0.2"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1"/>
      <c r="N94" s="1"/>
      <c r="O94" s="1"/>
      <c r="P94" s="1"/>
      <c r="Q94" s="1"/>
      <c r="R94" s="247"/>
      <c r="S94" s="3"/>
      <c r="T94" s="3"/>
      <c r="U94" s="3"/>
      <c r="V94" s="3"/>
      <c r="W94" s="3"/>
      <c r="X94" s="3"/>
      <c r="Y94" s="3"/>
    </row>
    <row r="95" spans="2:25" ht="12.75" customHeight="1" x14ac:dyDescent="0.2"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1"/>
      <c r="N95" s="1"/>
      <c r="O95" s="1"/>
      <c r="P95" s="1"/>
      <c r="Q95" s="1"/>
      <c r="R95" s="247"/>
      <c r="S95" s="3"/>
      <c r="T95" s="3"/>
      <c r="U95" s="3"/>
      <c r="V95" s="3"/>
      <c r="W95" s="3"/>
      <c r="X95" s="3"/>
      <c r="Y95" s="3"/>
    </row>
    <row r="96" spans="2:25" ht="12.75" customHeight="1" x14ac:dyDescent="0.2"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1"/>
      <c r="N96" s="1"/>
      <c r="O96" s="1"/>
      <c r="P96" s="1"/>
      <c r="Q96" s="1"/>
      <c r="R96" s="247"/>
      <c r="S96" s="3"/>
      <c r="T96" s="3"/>
      <c r="U96" s="3"/>
      <c r="V96" s="3"/>
      <c r="W96" s="3"/>
      <c r="X96" s="3"/>
      <c r="Y96" s="3"/>
    </row>
    <row r="97" spans="2:25" ht="12.75" customHeight="1" x14ac:dyDescent="0.2"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1"/>
      <c r="N97" s="1"/>
      <c r="O97" s="1"/>
      <c r="P97" s="1"/>
      <c r="Q97" s="1"/>
      <c r="R97" s="247"/>
      <c r="S97" s="3"/>
      <c r="T97" s="3"/>
      <c r="U97" s="3"/>
      <c r="V97" s="3"/>
      <c r="W97" s="3"/>
      <c r="X97" s="3"/>
      <c r="Y97" s="3"/>
    </row>
    <row r="98" spans="2:25" ht="12.75" customHeight="1" x14ac:dyDescent="0.2"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1"/>
      <c r="N98" s="1"/>
      <c r="O98" s="1"/>
      <c r="P98" s="1"/>
      <c r="Q98" s="1"/>
      <c r="R98" s="247"/>
      <c r="S98" s="3"/>
      <c r="T98" s="3"/>
      <c r="U98" s="3"/>
      <c r="V98" s="3"/>
      <c r="W98" s="3"/>
      <c r="X98" s="3"/>
      <c r="Y98" s="3"/>
    </row>
    <row r="99" spans="2:25" ht="12.75" customHeight="1" x14ac:dyDescent="0.2"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1"/>
      <c r="N99" s="1"/>
      <c r="O99" s="1"/>
      <c r="P99" s="1"/>
      <c r="Q99" s="1"/>
      <c r="R99" s="247"/>
      <c r="S99" s="3"/>
      <c r="T99" s="3"/>
      <c r="U99" s="3"/>
      <c r="V99" s="3"/>
      <c r="W99" s="3"/>
      <c r="X99" s="3"/>
      <c r="Y99" s="3"/>
    </row>
    <row r="100" spans="2:25" ht="12.75" customHeight="1" x14ac:dyDescent="0.2"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1"/>
      <c r="N100" s="1"/>
      <c r="O100" s="1"/>
      <c r="P100" s="1"/>
      <c r="Q100" s="1"/>
      <c r="R100" s="247"/>
      <c r="S100" s="3"/>
      <c r="T100" s="3"/>
      <c r="U100" s="3"/>
      <c r="V100" s="3"/>
      <c r="W100" s="3"/>
      <c r="X100" s="3"/>
      <c r="Y100" s="3"/>
    </row>
    <row r="101" spans="2:25" ht="12.75" customHeight="1" x14ac:dyDescent="0.2"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1"/>
      <c r="N101" s="1"/>
      <c r="O101" s="1"/>
      <c r="P101" s="1"/>
      <c r="Q101" s="1"/>
      <c r="R101" s="247"/>
      <c r="S101" s="3"/>
      <c r="T101" s="3"/>
      <c r="U101" s="3"/>
      <c r="V101" s="3"/>
      <c r="W101" s="3"/>
      <c r="X101" s="3"/>
      <c r="Y101" s="3"/>
    </row>
    <row r="102" spans="2:25" ht="12.75" customHeight="1" x14ac:dyDescent="0.2"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1"/>
      <c r="N102" s="1"/>
      <c r="O102" s="1"/>
      <c r="P102" s="1"/>
      <c r="Q102" s="1"/>
      <c r="R102" s="247"/>
      <c r="S102" s="3"/>
      <c r="T102" s="3"/>
      <c r="U102" s="3"/>
      <c r="V102" s="3"/>
      <c r="W102" s="3"/>
      <c r="X102" s="3"/>
      <c r="Y102" s="3"/>
    </row>
    <row r="103" spans="2:25" ht="12.75" customHeight="1" x14ac:dyDescent="0.2">
      <c r="B103" s="1"/>
      <c r="C103" s="1"/>
      <c r="D103" s="3"/>
      <c r="E103" s="3"/>
      <c r="F103" s="3"/>
      <c r="G103" s="3"/>
      <c r="H103" s="2"/>
      <c r="I103" s="2"/>
      <c r="J103" s="2"/>
      <c r="K103" s="2"/>
      <c r="L103" s="2"/>
      <c r="M103" s="1"/>
      <c r="N103" s="1"/>
      <c r="O103" s="1"/>
      <c r="P103" s="1"/>
      <c r="Q103" s="1"/>
      <c r="R103" s="247"/>
      <c r="S103" s="3"/>
      <c r="T103" s="3"/>
      <c r="U103" s="3"/>
      <c r="V103" s="3"/>
      <c r="W103" s="3"/>
      <c r="X103" s="3"/>
      <c r="Y103" s="3"/>
    </row>
    <row r="104" spans="2:25" ht="15.7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247"/>
      <c r="S104" s="3"/>
      <c r="T104" s="3"/>
      <c r="U104" s="3"/>
      <c r="V104" s="3"/>
      <c r="W104" s="3"/>
      <c r="X104" s="3"/>
      <c r="Y104" s="3"/>
    </row>
    <row r="105" spans="2:25" ht="15.7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247"/>
      <c r="S105" s="3"/>
      <c r="T105" s="3"/>
      <c r="U105" s="3"/>
      <c r="V105" s="3"/>
      <c r="W105" s="3"/>
      <c r="X105" s="3"/>
      <c r="Y105" s="3"/>
    </row>
    <row r="106" spans="2:25" ht="15.7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247"/>
      <c r="S106" s="3"/>
      <c r="T106" s="3"/>
      <c r="U106" s="3"/>
      <c r="V106" s="3"/>
      <c r="W106" s="3"/>
      <c r="X106" s="3"/>
      <c r="Y106" s="3"/>
    </row>
    <row r="107" spans="2:25" ht="15.7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247"/>
      <c r="S107" s="3"/>
      <c r="T107" s="3"/>
      <c r="U107" s="3"/>
      <c r="V107" s="3"/>
      <c r="W107" s="3"/>
      <c r="X107" s="3"/>
      <c r="Y107" s="3"/>
    </row>
    <row r="108" spans="2:25" ht="15.7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247"/>
      <c r="S108" s="3"/>
      <c r="T108" s="3"/>
      <c r="U108" s="3"/>
      <c r="V108" s="3"/>
      <c r="W108" s="3"/>
      <c r="X108" s="3"/>
      <c r="Y108" s="3"/>
    </row>
    <row r="109" spans="2:25" ht="15.7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247"/>
      <c r="S109" s="3"/>
      <c r="T109" s="3"/>
      <c r="U109" s="3"/>
      <c r="V109" s="3"/>
      <c r="W109" s="3"/>
      <c r="X109" s="3"/>
      <c r="Y109" s="3"/>
    </row>
    <row r="110" spans="2:25" ht="15.7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247"/>
      <c r="S110" s="3"/>
      <c r="T110" s="3"/>
      <c r="U110" s="3"/>
      <c r="V110" s="3"/>
      <c r="W110" s="3"/>
      <c r="X110" s="3"/>
      <c r="Y110" s="3"/>
    </row>
    <row r="111" spans="2:25" ht="15.7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247"/>
      <c r="S111" s="3"/>
      <c r="T111" s="3"/>
      <c r="U111" s="3"/>
      <c r="V111" s="3"/>
      <c r="W111" s="3"/>
      <c r="X111" s="3"/>
      <c r="Y111" s="3"/>
    </row>
    <row r="112" spans="2:25" ht="15.7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247"/>
      <c r="S112" s="3"/>
      <c r="T112" s="3"/>
      <c r="U112" s="3"/>
      <c r="V112" s="3"/>
      <c r="W112" s="3"/>
      <c r="X112" s="3"/>
      <c r="Y112" s="3"/>
    </row>
    <row r="113" spans="2:25" ht="15.7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247"/>
      <c r="S113" s="3"/>
      <c r="T113" s="3"/>
      <c r="U113" s="3"/>
      <c r="V113" s="3"/>
      <c r="W113" s="3"/>
      <c r="X113" s="3"/>
      <c r="Y113" s="3"/>
    </row>
    <row r="114" spans="2:25" ht="15.7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247"/>
      <c r="S114" s="3"/>
      <c r="T114" s="3"/>
      <c r="U114" s="3"/>
      <c r="V114" s="3"/>
      <c r="W114" s="3"/>
      <c r="X114" s="3"/>
      <c r="Y114" s="3"/>
    </row>
    <row r="115" spans="2:25" ht="15.7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247"/>
      <c r="S115" s="3"/>
      <c r="T115" s="3"/>
      <c r="U115" s="3"/>
      <c r="V115" s="3"/>
      <c r="W115" s="3"/>
      <c r="X115" s="3"/>
      <c r="Y115" s="3"/>
    </row>
    <row r="116" spans="2:25" ht="15.7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247"/>
      <c r="S116" s="3"/>
      <c r="T116" s="3"/>
      <c r="U116" s="3"/>
      <c r="V116" s="3"/>
      <c r="W116" s="3"/>
      <c r="X116" s="3"/>
      <c r="Y116" s="3"/>
    </row>
    <row r="117" spans="2:25" ht="15.7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247"/>
      <c r="S117" s="3"/>
      <c r="T117" s="3"/>
      <c r="U117" s="3"/>
      <c r="V117" s="3"/>
      <c r="W117" s="3"/>
      <c r="X117" s="3"/>
      <c r="Y117" s="3"/>
    </row>
    <row r="118" spans="2:25" ht="15.7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247"/>
      <c r="S118" s="3"/>
      <c r="T118" s="3"/>
      <c r="U118" s="3"/>
      <c r="V118" s="3"/>
      <c r="W118" s="3"/>
      <c r="X118" s="3"/>
      <c r="Y118" s="3"/>
    </row>
    <row r="119" spans="2:25" ht="15.7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47"/>
      <c r="S119" s="3"/>
      <c r="T119" s="3"/>
      <c r="U119" s="3"/>
      <c r="V119" s="3"/>
      <c r="W119" s="3"/>
      <c r="X119" s="3"/>
      <c r="Y119" s="3"/>
    </row>
    <row r="120" spans="2:25" ht="15.7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247"/>
      <c r="S120" s="3"/>
      <c r="T120" s="3"/>
      <c r="U120" s="3"/>
      <c r="V120" s="3"/>
      <c r="W120" s="3"/>
      <c r="X120" s="3"/>
      <c r="Y120" s="3"/>
    </row>
    <row r="121" spans="2:25" ht="15.7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247"/>
      <c r="S121" s="3"/>
      <c r="T121" s="3"/>
      <c r="U121" s="3"/>
      <c r="V121" s="3"/>
      <c r="W121" s="3"/>
      <c r="X121" s="3"/>
      <c r="Y121" s="3"/>
    </row>
    <row r="122" spans="2:25" ht="15.7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247"/>
      <c r="S122" s="3"/>
      <c r="T122" s="3"/>
      <c r="U122" s="3"/>
      <c r="V122" s="3"/>
      <c r="W122" s="3"/>
      <c r="X122" s="3"/>
      <c r="Y122" s="3"/>
    </row>
    <row r="123" spans="2:25" ht="15.7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247"/>
      <c r="S123" s="3"/>
      <c r="T123" s="3"/>
      <c r="U123" s="3"/>
      <c r="V123" s="3"/>
      <c r="W123" s="3"/>
      <c r="X123" s="3"/>
      <c r="Y123" s="3"/>
    </row>
    <row r="124" spans="2:25" ht="15.7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47"/>
      <c r="S124" s="3"/>
      <c r="T124" s="3"/>
      <c r="U124" s="3"/>
      <c r="V124" s="3"/>
      <c r="W124" s="3"/>
      <c r="X124" s="3"/>
      <c r="Y124" s="3"/>
    </row>
    <row r="125" spans="2:25" ht="15.7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247"/>
      <c r="S125" s="3"/>
      <c r="T125" s="3"/>
      <c r="U125" s="3"/>
      <c r="V125" s="3"/>
      <c r="W125" s="3"/>
      <c r="X125" s="3"/>
      <c r="Y125" s="3"/>
    </row>
    <row r="126" spans="2:25" ht="15.7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247"/>
      <c r="S126" s="3"/>
      <c r="T126" s="3"/>
      <c r="U126" s="3"/>
      <c r="V126" s="3"/>
      <c r="W126" s="3"/>
      <c r="X126" s="3"/>
      <c r="Y126" s="3"/>
    </row>
    <row r="127" spans="2:25" ht="15.7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247"/>
      <c r="S127" s="3"/>
      <c r="T127" s="3"/>
      <c r="U127" s="3"/>
      <c r="V127" s="3"/>
      <c r="W127" s="3"/>
      <c r="X127" s="3"/>
      <c r="Y127" s="3"/>
    </row>
    <row r="128" spans="2:25" ht="15.7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247"/>
      <c r="S128" s="3"/>
      <c r="T128" s="3"/>
      <c r="U128" s="3"/>
      <c r="V128" s="3"/>
      <c r="W128" s="3"/>
      <c r="X128" s="3"/>
      <c r="Y128" s="3"/>
    </row>
    <row r="129" spans="2:25" ht="15.7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247"/>
      <c r="S129" s="3"/>
      <c r="T129" s="3"/>
      <c r="U129" s="3"/>
      <c r="V129" s="3"/>
      <c r="W129" s="3"/>
      <c r="X129" s="3"/>
      <c r="Y129" s="3"/>
    </row>
    <row r="130" spans="2:25" ht="15.7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247"/>
      <c r="S130" s="3"/>
      <c r="T130" s="3"/>
      <c r="U130" s="3"/>
      <c r="V130" s="3"/>
      <c r="W130" s="3"/>
      <c r="X130" s="3"/>
      <c r="Y130" s="3"/>
    </row>
    <row r="131" spans="2:25" ht="15.7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247"/>
      <c r="S131" s="3"/>
      <c r="T131" s="3"/>
      <c r="U131" s="3"/>
      <c r="V131" s="3"/>
      <c r="W131" s="3"/>
      <c r="X131" s="3"/>
      <c r="Y131" s="3"/>
    </row>
    <row r="132" spans="2:25" ht="15.7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247"/>
      <c r="S132" s="3"/>
      <c r="T132" s="3"/>
      <c r="U132" s="3"/>
      <c r="V132" s="3"/>
      <c r="W132" s="3"/>
      <c r="X132" s="3"/>
      <c r="Y132" s="3"/>
    </row>
    <row r="133" spans="2:25" ht="15.7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247"/>
      <c r="S133" s="3"/>
      <c r="T133" s="3"/>
      <c r="U133" s="3"/>
      <c r="V133" s="3"/>
      <c r="W133" s="3"/>
      <c r="X133" s="3"/>
      <c r="Y133" s="3"/>
    </row>
    <row r="134" spans="2:25" ht="15.7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247"/>
      <c r="S134" s="3"/>
      <c r="T134" s="3"/>
      <c r="U134" s="3"/>
      <c r="V134" s="3"/>
      <c r="W134" s="3"/>
      <c r="X134" s="3"/>
      <c r="Y134" s="3"/>
    </row>
    <row r="135" spans="2:25" ht="15.7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247"/>
      <c r="S135" s="3"/>
      <c r="T135" s="3"/>
      <c r="U135" s="3"/>
      <c r="V135" s="3"/>
      <c r="W135" s="3"/>
      <c r="X135" s="3"/>
      <c r="Y135" s="3"/>
    </row>
    <row r="136" spans="2:25" ht="15.7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247"/>
      <c r="S136" s="3"/>
      <c r="T136" s="3"/>
      <c r="U136" s="3"/>
      <c r="V136" s="3"/>
      <c r="W136" s="3"/>
      <c r="X136" s="3"/>
      <c r="Y136" s="3"/>
    </row>
    <row r="137" spans="2:25" ht="15.7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247"/>
      <c r="S137" s="3"/>
      <c r="T137" s="3"/>
      <c r="U137" s="3"/>
      <c r="V137" s="3"/>
      <c r="W137" s="3"/>
      <c r="X137" s="3"/>
      <c r="Y137" s="3"/>
    </row>
    <row r="138" spans="2:25" ht="15.7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247"/>
      <c r="S138" s="3"/>
      <c r="T138" s="3"/>
      <c r="U138" s="3"/>
      <c r="V138" s="3"/>
      <c r="W138" s="3"/>
      <c r="X138" s="3"/>
      <c r="Y138" s="3"/>
    </row>
    <row r="139" spans="2:25" ht="15.7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247"/>
      <c r="S139" s="3"/>
      <c r="T139" s="3"/>
      <c r="U139" s="3"/>
      <c r="V139" s="3"/>
      <c r="W139" s="3"/>
      <c r="X139" s="3"/>
      <c r="Y139" s="3"/>
    </row>
    <row r="140" spans="2:25" ht="15.7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247"/>
      <c r="S140" s="3"/>
      <c r="T140" s="3"/>
      <c r="U140" s="3"/>
      <c r="V140" s="3"/>
      <c r="W140" s="3"/>
      <c r="X140" s="3"/>
      <c r="Y140" s="3"/>
    </row>
    <row r="141" spans="2:25" ht="15.7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247"/>
      <c r="S141" s="3"/>
      <c r="T141" s="3"/>
      <c r="U141" s="3"/>
      <c r="V141" s="3"/>
      <c r="W141" s="3"/>
      <c r="X141" s="3"/>
      <c r="Y141" s="3"/>
    </row>
    <row r="142" spans="2:25" ht="15.7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247"/>
      <c r="S142" s="3"/>
      <c r="T142" s="3"/>
      <c r="U142" s="3"/>
      <c r="V142" s="3"/>
      <c r="W142" s="3"/>
      <c r="X142" s="3"/>
      <c r="Y142" s="3"/>
    </row>
    <row r="143" spans="2:25" ht="15.7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247"/>
      <c r="S143" s="3"/>
      <c r="T143" s="3"/>
      <c r="U143" s="3"/>
      <c r="V143" s="3"/>
      <c r="W143" s="3"/>
      <c r="X143" s="3"/>
      <c r="Y143" s="3"/>
    </row>
    <row r="144" spans="2:25" ht="15.7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247"/>
      <c r="S144" s="3"/>
      <c r="T144" s="3"/>
      <c r="U144" s="3"/>
      <c r="V144" s="3"/>
      <c r="W144" s="3"/>
      <c r="X144" s="3"/>
      <c r="Y144" s="3"/>
    </row>
    <row r="145" spans="2:25" ht="15.7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247"/>
      <c r="S145" s="3"/>
      <c r="T145" s="3"/>
      <c r="U145" s="3"/>
      <c r="V145" s="3"/>
      <c r="W145" s="3"/>
      <c r="X145" s="3"/>
      <c r="Y145" s="3"/>
    </row>
    <row r="146" spans="2:25" ht="15.7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247"/>
      <c r="S146" s="3"/>
      <c r="T146" s="3"/>
      <c r="U146" s="3"/>
      <c r="V146" s="3"/>
      <c r="W146" s="3"/>
      <c r="X146" s="3"/>
      <c r="Y146" s="3"/>
    </row>
    <row r="147" spans="2:25" ht="15.7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247"/>
      <c r="S147" s="3"/>
      <c r="T147" s="3"/>
      <c r="U147" s="3"/>
      <c r="V147" s="3"/>
      <c r="W147" s="3"/>
      <c r="X147" s="3"/>
      <c r="Y147" s="3"/>
    </row>
    <row r="148" spans="2:25" ht="15.7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247"/>
      <c r="S148" s="3"/>
      <c r="T148" s="3"/>
      <c r="U148" s="3"/>
      <c r="V148" s="3"/>
      <c r="W148" s="3"/>
      <c r="X148" s="3"/>
      <c r="Y148" s="3"/>
    </row>
    <row r="149" spans="2:25" ht="15.7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247"/>
      <c r="S149" s="3"/>
      <c r="T149" s="3"/>
      <c r="U149" s="3"/>
      <c r="V149" s="3"/>
      <c r="W149" s="3"/>
      <c r="X149" s="3"/>
      <c r="Y149" s="3"/>
    </row>
    <row r="150" spans="2:25" ht="15.7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247"/>
      <c r="S150" s="3"/>
      <c r="T150" s="3"/>
      <c r="U150" s="3"/>
      <c r="V150" s="3"/>
      <c r="W150" s="3"/>
      <c r="X150" s="3"/>
      <c r="Y150" s="3"/>
    </row>
    <row r="151" spans="2:25" ht="15.7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247"/>
      <c r="S151" s="3"/>
      <c r="T151" s="3"/>
      <c r="U151" s="3"/>
      <c r="V151" s="3"/>
      <c r="W151" s="3"/>
      <c r="X151" s="3"/>
      <c r="Y151" s="3"/>
    </row>
    <row r="152" spans="2:25" ht="15.7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247"/>
      <c r="S152" s="3"/>
      <c r="T152" s="3"/>
      <c r="U152" s="3"/>
      <c r="V152" s="3"/>
      <c r="W152" s="3"/>
      <c r="X152" s="3"/>
      <c r="Y152" s="3"/>
    </row>
    <row r="153" spans="2:25" ht="15.7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247"/>
      <c r="S153" s="3"/>
      <c r="T153" s="3"/>
      <c r="U153" s="3"/>
      <c r="V153" s="3"/>
      <c r="W153" s="3"/>
      <c r="X153" s="3"/>
      <c r="Y153" s="3"/>
    </row>
    <row r="154" spans="2:25" ht="15.7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247"/>
      <c r="S154" s="3"/>
      <c r="T154" s="3"/>
      <c r="U154" s="3"/>
      <c r="V154" s="3"/>
      <c r="W154" s="3"/>
      <c r="X154" s="3"/>
      <c r="Y154" s="3"/>
    </row>
    <row r="155" spans="2:25" ht="15.7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247"/>
      <c r="S155" s="3"/>
      <c r="T155" s="3"/>
      <c r="U155" s="3"/>
      <c r="V155" s="3"/>
      <c r="W155" s="3"/>
      <c r="X155" s="3"/>
      <c r="Y155" s="3"/>
    </row>
    <row r="156" spans="2:25" ht="15.7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247"/>
      <c r="S156" s="3"/>
      <c r="T156" s="3"/>
      <c r="U156" s="3"/>
      <c r="V156" s="3"/>
      <c r="W156" s="3"/>
      <c r="X156" s="3"/>
      <c r="Y156" s="3"/>
    </row>
    <row r="157" spans="2:25" ht="15.7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247"/>
      <c r="S157" s="3"/>
      <c r="T157" s="3"/>
      <c r="U157" s="3"/>
      <c r="V157" s="3"/>
      <c r="W157" s="3"/>
      <c r="X157" s="3"/>
      <c r="Y157" s="3"/>
    </row>
    <row r="158" spans="2:25" ht="15.7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247"/>
      <c r="S158" s="3"/>
      <c r="T158" s="3"/>
      <c r="U158" s="3"/>
      <c r="V158" s="3"/>
      <c r="W158" s="3"/>
      <c r="X158" s="3"/>
      <c r="Y158" s="3"/>
    </row>
    <row r="159" spans="2:25" ht="15.7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247"/>
      <c r="S159" s="3"/>
      <c r="T159" s="3"/>
      <c r="U159" s="3"/>
      <c r="V159" s="3"/>
      <c r="W159" s="3"/>
      <c r="X159" s="3"/>
      <c r="Y159" s="3"/>
    </row>
    <row r="160" spans="2:25" ht="15.7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247"/>
      <c r="S160" s="3"/>
      <c r="T160" s="3"/>
      <c r="U160" s="3"/>
      <c r="V160" s="3"/>
      <c r="W160" s="3"/>
      <c r="X160" s="3"/>
      <c r="Y160" s="3"/>
    </row>
    <row r="161" spans="2:25" ht="15.7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247"/>
      <c r="S161" s="3"/>
      <c r="T161" s="3"/>
      <c r="U161" s="3"/>
      <c r="V161" s="3"/>
      <c r="W161" s="3"/>
      <c r="X161" s="3"/>
      <c r="Y161" s="3"/>
    </row>
    <row r="162" spans="2:25" ht="15.7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247"/>
      <c r="S162" s="3"/>
      <c r="T162" s="3"/>
      <c r="U162" s="3"/>
      <c r="V162" s="3"/>
      <c r="W162" s="3"/>
      <c r="X162" s="3"/>
      <c r="Y162" s="3"/>
    </row>
    <row r="163" spans="2:25" ht="15.7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247"/>
      <c r="S163" s="3"/>
      <c r="T163" s="3"/>
      <c r="U163" s="3"/>
      <c r="V163" s="3"/>
      <c r="W163" s="3"/>
      <c r="X163" s="3"/>
      <c r="Y163" s="3"/>
    </row>
    <row r="164" spans="2:25" ht="15.7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247"/>
      <c r="S164" s="3"/>
      <c r="T164" s="3"/>
      <c r="U164" s="3"/>
      <c r="V164" s="3"/>
      <c r="W164" s="3"/>
      <c r="X164" s="3"/>
      <c r="Y164" s="3"/>
    </row>
    <row r="165" spans="2:25" ht="15.7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247"/>
      <c r="S165" s="3"/>
      <c r="T165" s="3"/>
      <c r="U165" s="3"/>
      <c r="V165" s="3"/>
      <c r="W165" s="3"/>
      <c r="X165" s="3"/>
      <c r="Y165" s="3"/>
    </row>
    <row r="166" spans="2:25" ht="15.7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247"/>
      <c r="S166" s="3"/>
      <c r="T166" s="3"/>
      <c r="U166" s="3"/>
      <c r="V166" s="3"/>
      <c r="W166" s="3"/>
      <c r="X166" s="3"/>
      <c r="Y166" s="3"/>
    </row>
    <row r="167" spans="2:25" ht="15.7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247"/>
      <c r="S167" s="3"/>
      <c r="T167" s="3"/>
      <c r="U167" s="3"/>
      <c r="V167" s="3"/>
      <c r="W167" s="3"/>
      <c r="X167" s="3"/>
      <c r="Y167" s="3"/>
    </row>
    <row r="168" spans="2:25" ht="15.7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247"/>
      <c r="S168" s="3"/>
      <c r="T168" s="3"/>
      <c r="U168" s="3"/>
      <c r="V168" s="3"/>
      <c r="W168" s="3"/>
      <c r="X168" s="3"/>
      <c r="Y168" s="3"/>
    </row>
    <row r="169" spans="2:25" ht="15.7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247"/>
      <c r="S169" s="3"/>
      <c r="T169" s="3"/>
      <c r="U169" s="3"/>
      <c r="V169" s="3"/>
      <c r="W169" s="3"/>
      <c r="X169" s="3"/>
      <c r="Y169" s="3"/>
    </row>
    <row r="170" spans="2:25" ht="15.7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247"/>
      <c r="S170" s="3"/>
      <c r="T170" s="3"/>
      <c r="U170" s="3"/>
      <c r="V170" s="3"/>
      <c r="W170" s="3"/>
      <c r="X170" s="3"/>
      <c r="Y170" s="3"/>
    </row>
    <row r="171" spans="2:25" ht="15.7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247"/>
      <c r="S171" s="3"/>
      <c r="T171" s="3"/>
      <c r="U171" s="3"/>
      <c r="V171" s="3"/>
      <c r="W171" s="3"/>
      <c r="X171" s="3"/>
      <c r="Y171" s="3"/>
    </row>
    <row r="172" spans="2:25" ht="15.7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247"/>
      <c r="S172" s="3"/>
      <c r="T172" s="3"/>
      <c r="U172" s="3"/>
      <c r="V172" s="3"/>
      <c r="W172" s="3"/>
      <c r="X172" s="3"/>
      <c r="Y172" s="3"/>
    </row>
    <row r="173" spans="2:25" ht="15.7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247"/>
      <c r="S173" s="3"/>
      <c r="T173" s="3"/>
      <c r="U173" s="3"/>
      <c r="V173" s="3"/>
      <c r="W173" s="3"/>
      <c r="X173" s="3"/>
      <c r="Y173" s="3"/>
    </row>
    <row r="174" spans="2:25" ht="15.7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247"/>
      <c r="S174" s="3"/>
      <c r="T174" s="3"/>
      <c r="U174" s="3"/>
      <c r="V174" s="3"/>
      <c r="W174" s="3"/>
      <c r="X174" s="3"/>
      <c r="Y174" s="3"/>
    </row>
    <row r="175" spans="2:25" ht="15.7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247"/>
      <c r="S175" s="3"/>
      <c r="T175" s="3"/>
      <c r="U175" s="3"/>
      <c r="V175" s="3"/>
      <c r="W175" s="3"/>
      <c r="X175" s="3"/>
      <c r="Y175" s="3"/>
    </row>
    <row r="176" spans="2:25" ht="15.7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247"/>
      <c r="S176" s="3"/>
      <c r="T176" s="3"/>
      <c r="U176" s="3"/>
      <c r="V176" s="3"/>
      <c r="W176" s="3"/>
      <c r="X176" s="3"/>
      <c r="Y176" s="3"/>
    </row>
    <row r="177" spans="2:25" ht="15.7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247"/>
      <c r="S177" s="3"/>
      <c r="T177" s="3"/>
      <c r="U177" s="3"/>
      <c r="V177" s="3"/>
      <c r="W177" s="3"/>
      <c r="X177" s="3"/>
      <c r="Y177" s="3"/>
    </row>
    <row r="178" spans="2:25" ht="15.7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247"/>
      <c r="S178" s="3"/>
      <c r="T178" s="3"/>
      <c r="U178" s="3"/>
      <c r="V178" s="3"/>
      <c r="W178" s="3"/>
      <c r="X178" s="3"/>
      <c r="Y178" s="3"/>
    </row>
    <row r="179" spans="2:25" ht="15.7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247"/>
      <c r="S179" s="3"/>
      <c r="T179" s="3"/>
      <c r="U179" s="3"/>
      <c r="V179" s="3"/>
      <c r="W179" s="3"/>
      <c r="X179" s="3"/>
      <c r="Y179" s="3"/>
    </row>
    <row r="180" spans="2:25" ht="15.7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247"/>
      <c r="S180" s="3"/>
      <c r="T180" s="3"/>
      <c r="U180" s="3"/>
      <c r="V180" s="3"/>
      <c r="W180" s="3"/>
      <c r="X180" s="3"/>
      <c r="Y180" s="3"/>
    </row>
    <row r="181" spans="2:25" ht="15.7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247"/>
      <c r="S181" s="3"/>
      <c r="T181" s="3"/>
      <c r="U181" s="3"/>
      <c r="V181" s="3"/>
      <c r="W181" s="3"/>
      <c r="X181" s="3"/>
      <c r="Y181" s="3"/>
    </row>
    <row r="182" spans="2:25" ht="15.7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247"/>
      <c r="S182" s="3"/>
      <c r="T182" s="3"/>
      <c r="U182" s="3"/>
      <c r="V182" s="3"/>
      <c r="W182" s="3"/>
      <c r="X182" s="3"/>
      <c r="Y182" s="3"/>
    </row>
    <row r="183" spans="2:25" ht="15.7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247"/>
      <c r="S183" s="3"/>
      <c r="T183" s="3"/>
      <c r="U183" s="3"/>
      <c r="V183" s="3"/>
      <c r="W183" s="3"/>
      <c r="X183" s="3"/>
      <c r="Y183" s="3"/>
    </row>
    <row r="184" spans="2:25" ht="15.7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247"/>
      <c r="S184" s="3"/>
      <c r="T184" s="3"/>
      <c r="U184" s="3"/>
      <c r="V184" s="3"/>
      <c r="W184" s="3"/>
      <c r="X184" s="3"/>
      <c r="Y184" s="3"/>
    </row>
    <row r="185" spans="2:25" ht="15.7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247"/>
      <c r="S185" s="3"/>
      <c r="T185" s="3"/>
      <c r="U185" s="3"/>
      <c r="V185" s="3"/>
      <c r="W185" s="3"/>
      <c r="X185" s="3"/>
      <c r="Y185" s="3"/>
    </row>
    <row r="186" spans="2:25" ht="15.7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247"/>
      <c r="S186" s="3"/>
      <c r="T186" s="3"/>
      <c r="U186" s="3"/>
      <c r="V186" s="3"/>
      <c r="W186" s="3"/>
      <c r="X186" s="3"/>
      <c r="Y186" s="3"/>
    </row>
    <row r="187" spans="2:25" ht="15.7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247"/>
      <c r="S187" s="3"/>
      <c r="T187" s="3"/>
      <c r="U187" s="3"/>
      <c r="V187" s="3"/>
      <c r="W187" s="3"/>
      <c r="X187" s="3"/>
      <c r="Y187" s="3"/>
    </row>
    <row r="188" spans="2:25" ht="15.7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247"/>
      <c r="S188" s="3"/>
      <c r="T188" s="3"/>
      <c r="U188" s="3"/>
      <c r="V188" s="3"/>
      <c r="W188" s="3"/>
      <c r="X188" s="3"/>
      <c r="Y188" s="3"/>
    </row>
    <row r="189" spans="2:25" ht="15.7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247"/>
      <c r="S189" s="3"/>
      <c r="T189" s="3"/>
      <c r="U189" s="3"/>
      <c r="V189" s="3"/>
      <c r="W189" s="3"/>
      <c r="X189" s="3"/>
      <c r="Y189" s="3"/>
    </row>
    <row r="190" spans="2:25" ht="15.7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247"/>
      <c r="S190" s="3"/>
      <c r="T190" s="3"/>
      <c r="U190" s="3"/>
      <c r="V190" s="3"/>
      <c r="W190" s="3"/>
      <c r="X190" s="3"/>
      <c r="Y190" s="3"/>
    </row>
    <row r="191" spans="2:25" ht="15.7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247"/>
      <c r="S191" s="3"/>
      <c r="T191" s="3"/>
      <c r="U191" s="3"/>
      <c r="V191" s="3"/>
      <c r="W191" s="3"/>
      <c r="X191" s="3"/>
      <c r="Y191" s="3"/>
    </row>
    <row r="192" spans="2:25" ht="15.7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247"/>
      <c r="S192" s="3"/>
      <c r="T192" s="3"/>
      <c r="U192" s="3"/>
      <c r="V192" s="3"/>
      <c r="W192" s="3"/>
      <c r="X192" s="3"/>
      <c r="Y192" s="3"/>
    </row>
    <row r="193" spans="2:25" ht="15.7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247"/>
      <c r="S193" s="3"/>
      <c r="T193" s="3"/>
      <c r="U193" s="3"/>
      <c r="V193" s="3"/>
      <c r="W193" s="3"/>
      <c r="X193" s="3"/>
      <c r="Y193" s="3"/>
    </row>
    <row r="194" spans="2:25" ht="15.7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247"/>
      <c r="S194" s="3"/>
      <c r="T194" s="3"/>
      <c r="U194" s="3"/>
      <c r="V194" s="3"/>
      <c r="W194" s="3"/>
      <c r="X194" s="3"/>
      <c r="Y194" s="3"/>
    </row>
    <row r="195" spans="2:25" ht="15.7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247"/>
      <c r="S195" s="3"/>
      <c r="T195" s="3"/>
      <c r="U195" s="3"/>
      <c r="V195" s="3"/>
      <c r="W195" s="3"/>
      <c r="X195" s="3"/>
      <c r="Y195" s="3"/>
    </row>
    <row r="196" spans="2:25" ht="15.7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247"/>
      <c r="S196" s="3"/>
      <c r="T196" s="3"/>
      <c r="U196" s="3"/>
      <c r="V196" s="3"/>
      <c r="W196" s="3"/>
      <c r="X196" s="3"/>
      <c r="Y196" s="3"/>
    </row>
    <row r="197" spans="2:25" ht="15.7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247"/>
      <c r="S197" s="3"/>
      <c r="T197" s="3"/>
      <c r="U197" s="3"/>
      <c r="V197" s="3"/>
      <c r="W197" s="3"/>
      <c r="X197" s="3"/>
      <c r="Y197" s="3"/>
    </row>
    <row r="198" spans="2:25" ht="15.7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247"/>
      <c r="S198" s="3"/>
      <c r="T198" s="3"/>
      <c r="U198" s="3"/>
      <c r="V198" s="3"/>
      <c r="W198" s="3"/>
      <c r="X198" s="3"/>
      <c r="Y198" s="3"/>
    </row>
    <row r="199" spans="2:25" ht="15.7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247"/>
      <c r="S199" s="3"/>
      <c r="T199" s="3"/>
      <c r="U199" s="3"/>
      <c r="V199" s="3"/>
      <c r="W199" s="3"/>
      <c r="X199" s="3"/>
      <c r="Y199" s="3"/>
    </row>
    <row r="200" spans="2:25" ht="15.7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247"/>
      <c r="S200" s="3"/>
      <c r="T200" s="3"/>
      <c r="U200" s="3"/>
      <c r="V200" s="3"/>
      <c r="W200" s="3"/>
      <c r="X200" s="3"/>
      <c r="Y200" s="3"/>
    </row>
    <row r="201" spans="2:25" ht="15.7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247"/>
      <c r="S201" s="3"/>
      <c r="T201" s="3"/>
      <c r="U201" s="3"/>
      <c r="V201" s="3"/>
      <c r="W201" s="3"/>
      <c r="X201" s="3"/>
      <c r="Y201" s="3"/>
    </row>
    <row r="202" spans="2:25" ht="15.7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247"/>
      <c r="S202" s="3"/>
      <c r="T202" s="3"/>
      <c r="U202" s="3"/>
      <c r="V202" s="3"/>
      <c r="W202" s="3"/>
      <c r="X202" s="3"/>
      <c r="Y202" s="3"/>
    </row>
    <row r="203" spans="2:25" ht="15.7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247"/>
      <c r="S203" s="3"/>
      <c r="T203" s="3"/>
      <c r="U203" s="3"/>
      <c r="V203" s="3"/>
      <c r="W203" s="3"/>
      <c r="X203" s="3"/>
      <c r="Y203" s="3"/>
    </row>
    <row r="204" spans="2:25" ht="15.7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247"/>
      <c r="S204" s="3"/>
      <c r="T204" s="3"/>
      <c r="U204" s="3"/>
      <c r="V204" s="3"/>
      <c r="W204" s="3"/>
      <c r="X204" s="3"/>
      <c r="Y204" s="3"/>
    </row>
    <row r="205" spans="2:25" ht="15.7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247"/>
      <c r="S205" s="3"/>
      <c r="T205" s="3"/>
      <c r="U205" s="3"/>
      <c r="V205" s="3"/>
      <c r="W205" s="3"/>
      <c r="X205" s="3"/>
      <c r="Y205" s="3"/>
    </row>
    <row r="206" spans="2:25" ht="15.7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247"/>
      <c r="S206" s="3"/>
      <c r="T206" s="3"/>
      <c r="U206" s="3"/>
      <c r="V206" s="3"/>
      <c r="W206" s="3"/>
      <c r="X206" s="3"/>
      <c r="Y206" s="3"/>
    </row>
    <row r="207" spans="2:25" ht="15.7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247"/>
      <c r="S207" s="3"/>
      <c r="T207" s="3"/>
      <c r="U207" s="3"/>
      <c r="V207" s="3"/>
      <c r="W207" s="3"/>
      <c r="X207" s="3"/>
      <c r="Y207" s="3"/>
    </row>
    <row r="208" spans="2:25" ht="15.7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247"/>
      <c r="S208" s="3"/>
      <c r="T208" s="3"/>
      <c r="U208" s="3"/>
      <c r="V208" s="3"/>
      <c r="W208" s="3"/>
      <c r="X208" s="3"/>
      <c r="Y208" s="3"/>
    </row>
    <row r="209" spans="2:25" ht="15.7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247"/>
      <c r="S209" s="3"/>
      <c r="T209" s="3"/>
      <c r="U209" s="3"/>
      <c r="V209" s="3"/>
      <c r="W209" s="3"/>
      <c r="X209" s="3"/>
      <c r="Y209" s="3"/>
    </row>
    <row r="210" spans="2:25" ht="15.7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247"/>
      <c r="S210" s="3"/>
      <c r="T210" s="3"/>
      <c r="U210" s="3"/>
      <c r="V210" s="3"/>
      <c r="W210" s="3"/>
      <c r="X210" s="3"/>
      <c r="Y210" s="3"/>
    </row>
    <row r="211" spans="2:25" ht="15.7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247"/>
      <c r="S211" s="3"/>
      <c r="T211" s="3"/>
      <c r="U211" s="3"/>
      <c r="V211" s="3"/>
      <c r="W211" s="3"/>
      <c r="X211" s="3"/>
      <c r="Y211" s="3"/>
    </row>
    <row r="212" spans="2:25" ht="15.7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247"/>
      <c r="S212" s="3"/>
      <c r="T212" s="3"/>
      <c r="U212" s="3"/>
      <c r="V212" s="3"/>
      <c r="W212" s="3"/>
      <c r="X212" s="3"/>
      <c r="Y212" s="3"/>
    </row>
    <row r="213" spans="2:25" ht="15.7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247"/>
      <c r="S213" s="3"/>
      <c r="T213" s="3"/>
      <c r="U213" s="3"/>
      <c r="V213" s="3"/>
      <c r="W213" s="3"/>
      <c r="X213" s="3"/>
      <c r="Y213" s="3"/>
    </row>
    <row r="214" spans="2:25" ht="15.7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247"/>
      <c r="S214" s="3"/>
      <c r="T214" s="3"/>
      <c r="U214" s="3"/>
      <c r="V214" s="3"/>
      <c r="W214" s="3"/>
      <c r="X214" s="3"/>
      <c r="Y214" s="3"/>
    </row>
    <row r="215" spans="2:25" ht="15.7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247"/>
      <c r="S215" s="3"/>
      <c r="T215" s="3"/>
      <c r="U215" s="3"/>
      <c r="V215" s="3"/>
      <c r="W215" s="3"/>
      <c r="X215" s="3"/>
      <c r="Y215" s="3"/>
    </row>
    <row r="216" spans="2:25" ht="15.7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247"/>
      <c r="S216" s="3"/>
      <c r="T216" s="3"/>
      <c r="U216" s="3"/>
      <c r="V216" s="3"/>
      <c r="W216" s="3"/>
      <c r="X216" s="3"/>
      <c r="Y216" s="3"/>
    </row>
    <row r="217" spans="2:25" ht="15.7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247"/>
      <c r="S217" s="3"/>
      <c r="T217" s="3"/>
      <c r="U217" s="3"/>
      <c r="V217" s="3"/>
      <c r="W217" s="3"/>
      <c r="X217" s="3"/>
      <c r="Y217" s="3"/>
    </row>
    <row r="218" spans="2:25" ht="15.7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247"/>
      <c r="S218" s="3"/>
      <c r="T218" s="3"/>
      <c r="U218" s="3"/>
      <c r="V218" s="3"/>
      <c r="W218" s="3"/>
      <c r="X218" s="3"/>
      <c r="Y218" s="3"/>
    </row>
    <row r="219" spans="2:25" ht="15.7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247"/>
      <c r="S219" s="3"/>
      <c r="T219" s="3"/>
      <c r="U219" s="3"/>
      <c r="V219" s="3"/>
      <c r="W219" s="3"/>
      <c r="X219" s="3"/>
      <c r="Y219" s="3"/>
    </row>
    <row r="220" spans="2:25" ht="15.7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247"/>
      <c r="S220" s="3"/>
      <c r="T220" s="3"/>
      <c r="U220" s="3"/>
      <c r="V220" s="3"/>
      <c r="W220" s="3"/>
      <c r="X220" s="3"/>
      <c r="Y220" s="3"/>
    </row>
    <row r="221" spans="2:25" ht="15.7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247"/>
      <c r="S221" s="3"/>
      <c r="T221" s="3"/>
      <c r="U221" s="3"/>
      <c r="V221" s="3"/>
      <c r="W221" s="3"/>
      <c r="X221" s="3"/>
      <c r="Y221" s="3"/>
    </row>
    <row r="222" spans="2:25" ht="15.7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247"/>
      <c r="S222" s="3"/>
      <c r="T222" s="3"/>
      <c r="U222" s="3"/>
      <c r="V222" s="3"/>
      <c r="W222" s="3"/>
      <c r="X222" s="3"/>
      <c r="Y222" s="3"/>
    </row>
    <row r="223" spans="2:25" ht="15.7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247"/>
      <c r="S223" s="3"/>
      <c r="T223" s="3"/>
      <c r="U223" s="3"/>
      <c r="V223" s="3"/>
      <c r="W223" s="3"/>
      <c r="X223" s="3"/>
      <c r="Y223" s="3"/>
    </row>
    <row r="224" spans="2:25" ht="15.7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247"/>
      <c r="S224" s="3"/>
      <c r="T224" s="3"/>
      <c r="U224" s="3"/>
      <c r="V224" s="3"/>
      <c r="W224" s="3"/>
      <c r="X224" s="3"/>
      <c r="Y224" s="3"/>
    </row>
    <row r="225" spans="2:25" ht="15.7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247"/>
      <c r="S225" s="3"/>
      <c r="T225" s="3"/>
      <c r="U225" s="3"/>
      <c r="V225" s="3"/>
      <c r="W225" s="3"/>
      <c r="X225" s="3"/>
      <c r="Y225" s="3"/>
    </row>
    <row r="226" spans="2:25" ht="15.7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247"/>
      <c r="S226" s="3"/>
      <c r="T226" s="3"/>
      <c r="U226" s="3"/>
      <c r="V226" s="3"/>
      <c r="W226" s="3"/>
      <c r="X226" s="3"/>
      <c r="Y226" s="3"/>
    </row>
    <row r="227" spans="2:25" ht="15.7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247"/>
      <c r="S227" s="3"/>
      <c r="T227" s="3"/>
      <c r="U227" s="3"/>
      <c r="V227" s="3"/>
      <c r="W227" s="3"/>
      <c r="X227" s="3"/>
      <c r="Y227" s="3"/>
    </row>
    <row r="228" spans="2:25" ht="15.7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247"/>
      <c r="S228" s="3"/>
      <c r="T228" s="3"/>
      <c r="U228" s="3"/>
      <c r="V228" s="3"/>
      <c r="W228" s="3"/>
      <c r="X228" s="3"/>
      <c r="Y228" s="3"/>
    </row>
    <row r="229" spans="2:25" ht="15.7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247"/>
      <c r="S229" s="3"/>
      <c r="T229" s="3"/>
      <c r="U229" s="3"/>
      <c r="V229" s="3"/>
      <c r="W229" s="3"/>
      <c r="X229" s="3"/>
      <c r="Y229" s="3"/>
    </row>
    <row r="230" spans="2:25" ht="15.7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247"/>
      <c r="S230" s="3"/>
      <c r="T230" s="3"/>
      <c r="U230" s="3"/>
      <c r="V230" s="3"/>
      <c r="W230" s="3"/>
      <c r="X230" s="3"/>
      <c r="Y230" s="3"/>
    </row>
    <row r="231" spans="2:25" ht="15.7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247"/>
      <c r="S231" s="3"/>
      <c r="T231" s="3"/>
      <c r="U231" s="3"/>
      <c r="V231" s="3"/>
      <c r="W231" s="3"/>
      <c r="X231" s="3"/>
      <c r="Y231" s="3"/>
    </row>
    <row r="232" spans="2:25" ht="15.7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247"/>
      <c r="S232" s="3"/>
      <c r="T232" s="3"/>
      <c r="U232" s="3"/>
      <c r="V232" s="3"/>
      <c r="W232" s="3"/>
      <c r="X232" s="3"/>
      <c r="Y232" s="3"/>
    </row>
    <row r="233" spans="2:25" ht="15.7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247"/>
      <c r="S233" s="3"/>
      <c r="T233" s="3"/>
      <c r="U233" s="3"/>
      <c r="V233" s="3"/>
      <c r="W233" s="3"/>
      <c r="X233" s="3"/>
      <c r="Y233" s="3"/>
    </row>
    <row r="234" spans="2:25" ht="15.7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247"/>
      <c r="S234" s="3"/>
      <c r="T234" s="3"/>
      <c r="U234" s="3"/>
      <c r="V234" s="3"/>
      <c r="W234" s="3"/>
      <c r="X234" s="3"/>
      <c r="Y234" s="3"/>
    </row>
    <row r="235" spans="2:25" ht="15.7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247"/>
      <c r="S235" s="3"/>
      <c r="T235" s="3"/>
      <c r="U235" s="3"/>
      <c r="V235" s="3"/>
      <c r="W235" s="3"/>
      <c r="X235" s="3"/>
      <c r="Y235" s="3"/>
    </row>
    <row r="236" spans="2:25" ht="15.7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247"/>
      <c r="S236" s="3"/>
      <c r="T236" s="3"/>
      <c r="U236" s="3"/>
      <c r="V236" s="3"/>
      <c r="W236" s="3"/>
      <c r="X236" s="3"/>
      <c r="Y236" s="3"/>
    </row>
    <row r="237" spans="2:25" ht="15.7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247"/>
      <c r="S237" s="3"/>
      <c r="T237" s="3"/>
      <c r="U237" s="3"/>
      <c r="V237" s="3"/>
      <c r="W237" s="3"/>
      <c r="X237" s="3"/>
      <c r="Y237" s="3"/>
    </row>
    <row r="238" spans="2:25" ht="15.7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247"/>
      <c r="S238" s="3"/>
      <c r="T238" s="3"/>
      <c r="U238" s="3"/>
      <c r="V238" s="3"/>
      <c r="W238" s="3"/>
      <c r="X238" s="3"/>
      <c r="Y238" s="3"/>
    </row>
    <row r="239" spans="2:25" ht="15.7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247"/>
      <c r="S239" s="3"/>
      <c r="T239" s="3"/>
      <c r="U239" s="3"/>
      <c r="V239" s="3"/>
      <c r="W239" s="3"/>
      <c r="X239" s="3"/>
      <c r="Y239" s="3"/>
    </row>
    <row r="240" spans="2:25" ht="15.7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247"/>
      <c r="S240" s="3"/>
      <c r="T240" s="3"/>
      <c r="U240" s="3"/>
      <c r="V240" s="3"/>
      <c r="W240" s="3"/>
      <c r="X240" s="3"/>
      <c r="Y240" s="3"/>
    </row>
    <row r="241" spans="2:25" ht="15.7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247"/>
      <c r="S241" s="3"/>
      <c r="T241" s="3"/>
      <c r="U241" s="3"/>
      <c r="V241" s="3"/>
      <c r="W241" s="3"/>
      <c r="X241" s="3"/>
      <c r="Y241" s="3"/>
    </row>
    <row r="242" spans="2:25" ht="15.7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247"/>
      <c r="S242" s="3"/>
      <c r="T242" s="3"/>
      <c r="U242" s="3"/>
      <c r="V242" s="3"/>
      <c r="W242" s="3"/>
      <c r="X242" s="3"/>
      <c r="Y242" s="3"/>
    </row>
    <row r="243" spans="2:25" ht="15.7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247"/>
      <c r="S243" s="3"/>
      <c r="T243" s="3"/>
      <c r="U243" s="3"/>
      <c r="V243" s="3"/>
      <c r="W243" s="3"/>
      <c r="X243" s="3"/>
      <c r="Y243" s="3"/>
    </row>
    <row r="244" spans="2:25" ht="15.7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247"/>
      <c r="S244" s="3"/>
      <c r="T244" s="3"/>
      <c r="U244" s="3"/>
      <c r="V244" s="3"/>
      <c r="W244" s="3"/>
      <c r="X244" s="3"/>
      <c r="Y244" s="3"/>
    </row>
    <row r="245" spans="2:25" ht="15.7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247"/>
      <c r="S245" s="3"/>
      <c r="T245" s="3"/>
      <c r="U245" s="3"/>
      <c r="V245" s="3"/>
      <c r="W245" s="3"/>
      <c r="X245" s="3"/>
      <c r="Y245" s="3"/>
    </row>
    <row r="246" spans="2:25" ht="15.7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247"/>
      <c r="S246" s="3"/>
      <c r="T246" s="3"/>
      <c r="U246" s="3"/>
      <c r="V246" s="3"/>
      <c r="W246" s="3"/>
      <c r="X246" s="3"/>
      <c r="Y246" s="3"/>
    </row>
    <row r="247" spans="2:25" ht="15.7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247"/>
      <c r="S247" s="3"/>
      <c r="T247" s="3"/>
      <c r="U247" s="3"/>
      <c r="V247" s="3"/>
      <c r="W247" s="3"/>
      <c r="X247" s="3"/>
      <c r="Y247" s="3"/>
    </row>
    <row r="248" spans="2:25" ht="15.7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247"/>
      <c r="S248" s="3"/>
      <c r="T248" s="3"/>
      <c r="U248" s="3"/>
      <c r="V248" s="3"/>
      <c r="W248" s="3"/>
      <c r="X248" s="3"/>
      <c r="Y248" s="3"/>
    </row>
    <row r="249" spans="2:25" ht="15.7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247"/>
      <c r="S249" s="3"/>
      <c r="T249" s="3"/>
      <c r="U249" s="3"/>
      <c r="V249" s="3"/>
      <c r="W249" s="3"/>
      <c r="X249" s="3"/>
      <c r="Y249" s="3"/>
    </row>
    <row r="250" spans="2:25" ht="15.7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247"/>
      <c r="S250" s="3"/>
      <c r="T250" s="3"/>
      <c r="U250" s="3"/>
      <c r="V250" s="3"/>
      <c r="W250" s="3"/>
      <c r="X250" s="3"/>
      <c r="Y250" s="3"/>
    </row>
    <row r="251" spans="2:25" ht="15.7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247"/>
      <c r="S251" s="3"/>
      <c r="T251" s="3"/>
      <c r="U251" s="3"/>
      <c r="V251" s="3"/>
      <c r="W251" s="3"/>
      <c r="X251" s="3"/>
      <c r="Y251" s="3"/>
    </row>
    <row r="252" spans="2:25" ht="15.7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247"/>
      <c r="S252" s="3"/>
      <c r="T252" s="3"/>
      <c r="U252" s="3"/>
      <c r="V252" s="3"/>
      <c r="W252" s="3"/>
      <c r="X252" s="3"/>
      <c r="Y252" s="3"/>
    </row>
    <row r="253" spans="2:25" ht="15.7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247"/>
      <c r="S253" s="3"/>
      <c r="T253" s="3"/>
      <c r="U253" s="3"/>
      <c r="V253" s="3"/>
      <c r="W253" s="3"/>
      <c r="X253" s="3"/>
      <c r="Y253" s="3"/>
    </row>
    <row r="254" spans="2:25" ht="15.75" customHeight="1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247"/>
      <c r="S254" s="3"/>
      <c r="T254" s="3"/>
      <c r="U254" s="3"/>
      <c r="V254" s="3"/>
      <c r="W254" s="3"/>
      <c r="X254" s="3"/>
      <c r="Y254" s="3"/>
    </row>
    <row r="255" spans="2:25" ht="15.75" customHeight="1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247"/>
      <c r="S255" s="3"/>
      <c r="T255" s="3"/>
      <c r="U255" s="3"/>
      <c r="V255" s="3"/>
      <c r="W255" s="3"/>
      <c r="X255" s="3"/>
      <c r="Y255" s="3"/>
    </row>
    <row r="256" spans="2:25" ht="15.75" customHeight="1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247"/>
      <c r="S256" s="3"/>
      <c r="T256" s="3"/>
      <c r="U256" s="3"/>
      <c r="V256" s="3"/>
      <c r="W256" s="3"/>
      <c r="X256" s="3"/>
      <c r="Y256" s="3"/>
    </row>
  </sheetData>
  <sheetProtection algorithmName="SHA-512" hashValue="KmBDhA8BHt/JkMw2nOSIuxaK2vBLDLvm/nj8d1ei8pgaY7nLJvUDgXtcoU18gAoPnlYCmhQDtFc/AOJE2u64Lw==" saltValue="5aMMfkaCurNFtNPl3SPuQg==" spinCount="100000" sheet="1" objects="1" scenarios="1"/>
  <mergeCells count="21">
    <mergeCell ref="R6:S6"/>
    <mergeCell ref="R12:S12"/>
    <mergeCell ref="R18:S18"/>
    <mergeCell ref="R4:S4"/>
    <mergeCell ref="I31:K31"/>
    <mergeCell ref="I30:J30"/>
    <mergeCell ref="B2:B9"/>
    <mergeCell ref="I4:J4"/>
    <mergeCell ref="L4:M4"/>
    <mergeCell ref="D8:E8"/>
    <mergeCell ref="D9:E9"/>
    <mergeCell ref="D22:E22"/>
    <mergeCell ref="M30:O30"/>
    <mergeCell ref="I39:L40"/>
    <mergeCell ref="J37:K37"/>
    <mergeCell ref="J38:K38"/>
    <mergeCell ref="J32:K32"/>
    <mergeCell ref="J33:K33"/>
    <mergeCell ref="J34:K34"/>
    <mergeCell ref="J35:K35"/>
    <mergeCell ref="J36:K36"/>
  </mergeCells>
  <conditionalFormatting sqref="I4">
    <cfRule type="containsText" dxfId="1" priority="1" operator="containsText" text="Neto con UPCN">
      <formula>NOT(ISERROR(SEARCH(("Neto con UPCN"),(I4))))</formula>
    </cfRule>
  </conditionalFormatting>
  <conditionalFormatting sqref="L4">
    <cfRule type="containsText" dxfId="0" priority="2" operator="containsText" text="Neto con UPCN">
      <formula>NOT(ISERROR(SEARCH(("Neto con UPCN"),(L4))))</formula>
    </cfRule>
  </conditionalFormatting>
  <dataValidations xWindow="218" yWindow="839" count="12">
    <dataValidation type="decimal" allowBlank="1" showInputMessage="1" showErrorMessage="1" prompt="Debe ser un número entre 0 y 27" sqref="E7 J34">
      <formula1>0</formula1>
      <formula2>27</formula2>
    </dataValidation>
    <dataValidation type="decimal" operator="lessThan" allowBlank="1" showInputMessage="1" showErrorMessage="1" prompt="No puede superar el total diario de 4hs para C y D, o 5hs para E y F. " sqref="E33">
      <formula1>155</formula1>
    </dataValidation>
    <dataValidation type="list" allowBlank="1" showErrorMessage="1" sqref="K30 E17">
      <formula1>"SÍ,NO"</formula1>
    </dataValidation>
    <dataValidation type="decimal" operator="greaterThan" allowBlank="1" showInputMessage="1" showErrorMessage="1" prompt="Solo se pueden introducir números" sqref="M11">
      <formula1>0</formula1>
    </dataValidation>
    <dataValidation type="decimal" allowBlank="1" showInputMessage="1" showErrorMessage="1" prompt="Debe ingresar un número entero" sqref="E13">
      <formula1>0</formula1>
      <formula2>5000</formula2>
    </dataValidation>
    <dataValidation type="decimal" allowBlank="1" showInputMessage="1" showErrorMessage="1" prompt="El porcentaje debe estar entre 10 y 100%" sqref="E11 J36">
      <formula1>0.1</formula1>
      <formula2>1</formula2>
    </dataValidation>
    <dataValidation type="list" allowBlank="1" showErrorMessage="1" sqref="E28">
      <formula1>"ATE,UPCN,ATE y UPCN"</formula1>
    </dataValidation>
    <dataValidation type="decimal" allowBlank="1" showInputMessage="1" showErrorMessage="1" prompt="El porcentaje debe estar entre 15 y 70%" sqref="J37 E16">
      <formula1>0.15</formula1>
      <formula2>0.7</formula2>
    </dataValidation>
    <dataValidation type="decimal" operator="lessThanOrEqual" allowBlank="1" showInputMessage="1" showErrorMessage="1" prompt="El número no puede superar los días laborales del mes de referencia." sqref="E34">
      <formula1>31</formula1>
    </dataValidation>
    <dataValidation type="decimal" allowBlank="1" showInputMessage="1" showErrorMessage="1" prompt="El porcentaje debe estar entre 15 y 70%. _x000a_No compatible con el Agrupamiento Compensación Transitoria._x000a_Asimismo, la suma para el pago de los conceptos de Agrupamiento y F. Específica no puede superar el 100% (ajuste automático)." sqref="E15">
      <formula1>0.15</formula1>
      <formula2>0.7</formula2>
    </dataValidation>
    <dataValidation type="list" allowBlank="1" showInputMessage="1" showErrorMessage="1" error="completar según se aporte a:_x000a_-Unión Personal individual, _x000a_-Unión Personal con personas a cargo, _x000a_-Prepaga u otra Obra Social" prompt="completar según se aporte a_x000a_-Unión Personal individual, _x000a_-Unión Personal con personas a cargo, _x000a_-Prepaga u otra Obra Social" sqref="E27">
      <formula1>" ,UP individual,UP c/pers. a cargo,Prepaga/Otra O. Soc."</formula1>
    </dataValidation>
    <dataValidation type="decimal" operator="lessThanOrEqual" allowBlank="1" showInputMessage="1" showErrorMessage="1" error="Introducir monto negativo (menor que 0)." prompt="Introducir descuentos en negativo." sqref="J18">
      <formula1>0</formula1>
    </dataValidation>
  </dataValidations>
  <hyperlinks>
    <hyperlink ref="D43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xWindow="218" yWindow="839" count="11">
        <x14:dataValidation type="list" allowBlank="1" showErrorMessage="1">
          <x14:formula1>
            <xm:f>Tablas!$O$14:$O$15</xm:f>
          </x14:formula1>
          <xm:sqref>J32</xm:sqref>
        </x14:dataValidation>
        <x14:dataValidation type="list" allowBlank="1" showErrorMessage="1">
          <x14:formula1>
            <xm:f>Tablas!$Q$13:$Q$15</xm:f>
          </x14:formula1>
          <xm:sqref>E20</xm:sqref>
        </x14:dataValidation>
        <x14:dataValidation type="list" allowBlank="1" showErrorMessage="1">
          <x14:formula1>
            <xm:f>Tablas!$I$6:$I$10</xm:f>
          </x14:formula1>
          <xm:sqref>E30</xm:sqref>
        </x14:dataValidation>
        <x14:dataValidation type="list" allowBlank="1" showErrorMessage="1">
          <x14:formula1>
            <xm:f>Tablas!$O$13:$O$15</xm:f>
          </x14:formula1>
          <xm:sqref>E5</xm:sqref>
        </x14:dataValidation>
        <x14:dataValidation type="list" allowBlank="1" showErrorMessage="1">
          <x14:formula1>
            <xm:f>Tablas!$P$13:$P$19</xm:f>
          </x14:formula1>
          <xm:sqref>E6</xm:sqref>
        </x14:dataValidation>
        <x14:dataValidation type="list" allowBlank="1" showErrorMessage="1">
          <x14:formula1>
            <xm:f>Tablas!$S$13:$S$16</xm:f>
          </x14:formula1>
          <xm:sqref>E24</xm:sqref>
        </x14:dataValidation>
        <x14:dataValidation type="list" allowBlank="1" showErrorMessage="1">
          <x14:formula1>
            <xm:f>Tablas!$B$8:$B$13</xm:f>
          </x14:formula1>
          <xm:sqref>D9 J35</xm:sqref>
        </x14:dataValidation>
        <x14:dataValidation type="list" allowBlank="1" showErrorMessage="1">
          <x14:formula1>
            <xm:f>Tablas!$P$14:$P$19</xm:f>
          </x14:formula1>
          <xm:sqref>J33</xm:sqref>
        </x14:dataValidation>
        <x14:dataValidation type="list" allowBlank="1" showErrorMessage="1">
          <x14:formula1>
            <xm:f>Tablas!$R$13:$R$17</xm:f>
          </x14:formula1>
          <xm:sqref>E23</xm:sqref>
        </x14:dataValidation>
        <x14:dataValidation type="list" allowBlank="1" showErrorMessage="1">
          <x14:formula1>
            <xm:f>Tablas!$Q$14:$Q$15</xm:f>
          </x14:formula1>
          <xm:sqref>J38</xm:sqref>
        </x14:dataValidation>
        <x14:dataValidation type="list" allowBlank="1" showErrorMessage="1">
          <x14:formula1>
            <xm:f>Tablas!$F$5:$F$7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L313"/>
  <sheetViews>
    <sheetView workbookViewId="0">
      <selection activeCell="K19" sqref="K19"/>
    </sheetView>
  </sheetViews>
  <sheetFormatPr baseColWidth="10" defaultColWidth="14.42578125" defaultRowHeight="15" customHeight="1" x14ac:dyDescent="0.2"/>
  <cols>
    <col min="1" max="1" width="5.7109375" customWidth="1"/>
    <col min="2" max="2" width="27" customWidth="1"/>
    <col min="3" max="3" width="5.42578125" customWidth="1"/>
    <col min="4" max="4" width="10.140625" customWidth="1"/>
    <col min="5" max="5" width="9" customWidth="1"/>
    <col min="6" max="6" width="14.7109375" customWidth="1"/>
    <col min="8" max="8" width="12.42578125" customWidth="1"/>
    <col min="9" max="9" width="16.85546875" customWidth="1"/>
    <col min="10" max="10" width="13.140625" customWidth="1"/>
    <col min="11" max="11" width="13.7109375" customWidth="1"/>
    <col min="12" max="12" width="13" customWidth="1"/>
    <col min="13" max="13" width="19.7109375" customWidth="1"/>
    <col min="14" max="14" width="12.7109375" customWidth="1"/>
    <col min="15" max="15" width="14.28515625" customWidth="1"/>
    <col min="16" max="16" width="13.140625" customWidth="1"/>
    <col min="17" max="17" width="13" customWidth="1"/>
    <col min="18" max="18" width="12.28515625" customWidth="1"/>
    <col min="19" max="19" width="12.85546875" customWidth="1"/>
    <col min="20" max="20" width="12.42578125" customWidth="1"/>
    <col min="21" max="21" width="17.140625" customWidth="1"/>
    <col min="22" max="22" width="15" customWidth="1"/>
    <col min="23" max="23" width="10.5703125" customWidth="1"/>
    <col min="24" max="24" width="8.28515625" customWidth="1"/>
  </cols>
  <sheetData>
    <row r="1" spans="2:23" ht="12.75" customHeight="1" thickBot="1" x14ac:dyDescent="0.25">
      <c r="J1" s="64"/>
      <c r="K1" s="65"/>
    </row>
    <row r="2" spans="2:23" ht="12.75" customHeight="1" thickBot="1" x14ac:dyDescent="0.25">
      <c r="D2" s="243" t="s">
        <v>231</v>
      </c>
      <c r="E2" s="244" t="s">
        <v>230</v>
      </c>
      <c r="F2" s="66" t="s">
        <v>1</v>
      </c>
      <c r="G2" s="66" t="s">
        <v>93</v>
      </c>
      <c r="H2" s="21" t="s">
        <v>94</v>
      </c>
      <c r="I2" s="20" t="s">
        <v>44</v>
      </c>
    </row>
    <row r="3" spans="2:23" ht="12.75" customHeight="1" thickBot="1" x14ac:dyDescent="0.25">
      <c r="B3" s="20" t="s">
        <v>95</v>
      </c>
      <c r="D3" s="243"/>
      <c r="E3" s="243"/>
      <c r="F3" s="67">
        <v>43831</v>
      </c>
      <c r="G3" s="68">
        <v>51.91</v>
      </c>
      <c r="I3" s="69">
        <f>+IFERROR(Total!E30,"")</f>
        <v>0</v>
      </c>
    </row>
    <row r="4" spans="2:23" ht="12.75" customHeight="1" thickBot="1" x14ac:dyDescent="0.25">
      <c r="B4" s="70" t="str">
        <f>+Total!E5&amp;Total!D9</f>
        <v/>
      </c>
      <c r="D4" s="243"/>
      <c r="E4" s="243"/>
      <c r="F4" s="67">
        <v>46143</v>
      </c>
      <c r="G4" s="68">
        <v>1012.37</v>
      </c>
      <c r="H4" s="63"/>
      <c r="I4" s="21" t="s">
        <v>96</v>
      </c>
      <c r="J4" s="67">
        <v>46113</v>
      </c>
      <c r="K4" s="67">
        <v>46143</v>
      </c>
      <c r="L4" s="67">
        <v>46174</v>
      </c>
      <c r="M4" s="67">
        <v>46204</v>
      </c>
      <c r="N4" s="67">
        <v>46235</v>
      </c>
      <c r="O4" s="67">
        <v>46266</v>
      </c>
      <c r="P4" s="67">
        <v>46296</v>
      </c>
      <c r="Q4" s="67">
        <v>46327</v>
      </c>
      <c r="R4" s="67">
        <v>46357</v>
      </c>
      <c r="S4" s="67">
        <v>46388</v>
      </c>
      <c r="T4" s="67">
        <v>46419</v>
      </c>
      <c r="U4" s="67">
        <v>46447</v>
      </c>
      <c r="V4" s="67">
        <v>46478</v>
      </c>
      <c r="W4" s="67">
        <v>46508</v>
      </c>
    </row>
    <row r="5" spans="2:23" ht="12.75" customHeight="1" thickBot="1" x14ac:dyDescent="0.25">
      <c r="B5" s="70">
        <f>+IF(B4="",0,VLOOKUP($B$4,$B$7:$C$27,2,FALSE))</f>
        <v>0</v>
      </c>
      <c r="D5" s="245">
        <f>+(G5-$G4)/$G4</f>
        <v>2.4003081877179359E-2</v>
      </c>
      <c r="E5" s="245">
        <f t="shared" ref="E5:E10" si="0">+(G5-$G$4)/$G$4</f>
        <v>2.4003081877179359E-2</v>
      </c>
      <c r="F5" s="67">
        <v>46174</v>
      </c>
      <c r="G5" s="261">
        <v>1036.67</v>
      </c>
      <c r="H5" s="71">
        <f>+$G$4*(1+2.4%)</f>
        <v>1036.66688</v>
      </c>
      <c r="I5" s="73" t="s">
        <v>232</v>
      </c>
      <c r="J5" s="67">
        <v>46143</v>
      </c>
      <c r="K5" s="67">
        <v>46174</v>
      </c>
      <c r="L5" s="67">
        <v>46204</v>
      </c>
      <c r="M5" s="67">
        <v>46235</v>
      </c>
      <c r="N5" s="67">
        <v>46266</v>
      </c>
      <c r="O5" s="67">
        <v>46296</v>
      </c>
      <c r="P5" s="67">
        <v>46327</v>
      </c>
      <c r="Q5" s="67">
        <v>46357</v>
      </c>
      <c r="R5" s="67">
        <v>46388</v>
      </c>
      <c r="S5" s="67">
        <v>46419</v>
      </c>
      <c r="T5" s="67">
        <v>46447</v>
      </c>
      <c r="U5" s="67">
        <v>46478</v>
      </c>
      <c r="V5" s="67">
        <v>46508</v>
      </c>
      <c r="W5" s="67">
        <v>46539</v>
      </c>
    </row>
    <row r="6" spans="2:23" ht="12.75" customHeight="1" thickBot="1" x14ac:dyDescent="0.25">
      <c r="D6" s="245">
        <f t="shared" ref="D6:D17" si="1">+(G6-$G5)/$G5</f>
        <v>2.1993498413188338E-2</v>
      </c>
      <c r="E6" s="245">
        <f t="shared" si="0"/>
        <v>4.652449203354507E-2</v>
      </c>
      <c r="F6" s="67">
        <v>46204</v>
      </c>
      <c r="G6" s="261">
        <v>1059.47</v>
      </c>
      <c r="H6" s="71">
        <f>+$G$4*(1+2.4%)*(1+2.2%)</f>
        <v>1059.4735513600001</v>
      </c>
      <c r="I6" s="74"/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/>
      <c r="Q6" s="75">
        <v>0</v>
      </c>
      <c r="R6" s="75">
        <v>0</v>
      </c>
      <c r="S6" s="75">
        <v>0</v>
      </c>
      <c r="T6" s="75">
        <v>0</v>
      </c>
      <c r="U6" s="75">
        <v>0</v>
      </c>
      <c r="V6" s="75">
        <v>0</v>
      </c>
      <c r="W6" s="75">
        <v>0</v>
      </c>
    </row>
    <row r="7" spans="2:23" ht="12.75" customHeight="1" thickBot="1" x14ac:dyDescent="0.25">
      <c r="B7" s="76"/>
      <c r="C7" s="9">
        <v>0</v>
      </c>
      <c r="D7" s="245">
        <f t="shared" si="1"/>
        <v>1.9000066070771121E-2</v>
      </c>
      <c r="E7" s="245">
        <f t="shared" si="0"/>
        <v>6.6408526526862618E-2</v>
      </c>
      <c r="F7" s="67">
        <v>46235</v>
      </c>
      <c r="G7" s="261">
        <v>1079.5999999999999</v>
      </c>
      <c r="H7" s="71">
        <f>+$G$4*(1+2.4%)*(1+2.2%)*(1+1.9%)</f>
        <v>1079.60354883584</v>
      </c>
      <c r="I7" s="77">
        <v>1</v>
      </c>
      <c r="J7" s="78">
        <v>61944</v>
      </c>
      <c r="K7" s="78">
        <v>62873</v>
      </c>
      <c r="L7" s="78">
        <f>+ROUND(K7*1.024,0)</f>
        <v>64382</v>
      </c>
      <c r="M7" s="78">
        <f>+ROUND(L7*1.022,0)</f>
        <v>65798</v>
      </c>
      <c r="N7" s="78">
        <f>+ROUND(M7*1.019,0)</f>
        <v>67048</v>
      </c>
      <c r="O7" s="260">
        <f t="shared" ref="O7:W7" si="2">+ROUND(N7*1,0)</f>
        <v>67048</v>
      </c>
      <c r="P7" s="260">
        <f t="shared" si="2"/>
        <v>67048</v>
      </c>
      <c r="Q7" s="260">
        <f t="shared" si="2"/>
        <v>67048</v>
      </c>
      <c r="R7" s="260">
        <f t="shared" si="2"/>
        <v>67048</v>
      </c>
      <c r="S7" s="260">
        <f t="shared" si="2"/>
        <v>67048</v>
      </c>
      <c r="T7" s="260">
        <f t="shared" si="2"/>
        <v>67048</v>
      </c>
      <c r="U7" s="260">
        <f t="shared" si="2"/>
        <v>67048</v>
      </c>
      <c r="V7" s="260">
        <f t="shared" si="2"/>
        <v>67048</v>
      </c>
      <c r="W7" s="260">
        <f t="shared" si="2"/>
        <v>67048</v>
      </c>
    </row>
    <row r="8" spans="2:23" ht="12.75" customHeight="1" thickBot="1" x14ac:dyDescent="0.25">
      <c r="B8" s="79" t="s">
        <v>97</v>
      </c>
      <c r="C8" s="12">
        <v>0</v>
      </c>
      <c r="D8" s="245">
        <f t="shared" si="1"/>
        <v>0</v>
      </c>
      <c r="E8" s="245">
        <f t="shared" si="0"/>
        <v>6.6408526526862618E-2</v>
      </c>
      <c r="F8" s="67">
        <v>46266</v>
      </c>
      <c r="G8" s="261">
        <f t="shared" ref="G8:G17" si="3">+G7</f>
        <v>1079.5999999999999</v>
      </c>
      <c r="H8" s="71">
        <f t="shared" ref="H8:H17" si="4">+$G$4*(1+2.4%)*(1+2.2%)*(1+1.9%)</f>
        <v>1079.60354883584</v>
      </c>
      <c r="I8" s="74" t="s">
        <v>98</v>
      </c>
      <c r="J8" s="78">
        <v>43361</v>
      </c>
      <c r="K8" s="78">
        <v>44011</v>
      </c>
      <c r="L8" s="78">
        <f>+ROUND(K8*1.024,0)</f>
        <v>45067</v>
      </c>
      <c r="M8" s="78">
        <v>46059</v>
      </c>
      <c r="N8" s="78">
        <f t="shared" ref="N8:N10" si="5">+ROUND(M8*1.019,0)</f>
        <v>46934</v>
      </c>
      <c r="O8" s="260">
        <f t="shared" ref="O8:W8" si="6">+ROUND(N8*1,0)</f>
        <v>46934</v>
      </c>
      <c r="P8" s="260">
        <f t="shared" si="6"/>
        <v>46934</v>
      </c>
      <c r="Q8" s="260">
        <f t="shared" si="6"/>
        <v>46934</v>
      </c>
      <c r="R8" s="260">
        <f t="shared" si="6"/>
        <v>46934</v>
      </c>
      <c r="S8" s="260">
        <f t="shared" si="6"/>
        <v>46934</v>
      </c>
      <c r="T8" s="260">
        <f t="shared" si="6"/>
        <v>46934</v>
      </c>
      <c r="U8" s="260">
        <f t="shared" si="6"/>
        <v>46934</v>
      </c>
      <c r="V8" s="260">
        <f t="shared" si="6"/>
        <v>46934</v>
      </c>
      <c r="W8" s="260">
        <f t="shared" si="6"/>
        <v>46934</v>
      </c>
    </row>
    <row r="9" spans="2:23" ht="12.75" customHeight="1" thickBot="1" x14ac:dyDescent="0.25">
      <c r="B9" s="79" t="s">
        <v>99</v>
      </c>
      <c r="C9" s="12">
        <v>0</v>
      </c>
      <c r="D9" s="245">
        <f t="shared" si="1"/>
        <v>0</v>
      </c>
      <c r="E9" s="245">
        <f t="shared" si="0"/>
        <v>6.6408526526862618E-2</v>
      </c>
      <c r="F9" s="67">
        <v>46296</v>
      </c>
      <c r="G9" s="261">
        <f t="shared" si="3"/>
        <v>1079.5999999999999</v>
      </c>
      <c r="H9" s="71">
        <f t="shared" si="4"/>
        <v>1079.60354883584</v>
      </c>
      <c r="I9" s="74" t="s">
        <v>100</v>
      </c>
      <c r="J9" s="78">
        <v>24778</v>
      </c>
      <c r="K9" s="78">
        <v>25149</v>
      </c>
      <c r="L9" s="78">
        <f>+ROUND(K9*1.024,0)</f>
        <v>25753</v>
      </c>
      <c r="M9" s="78">
        <v>26319</v>
      </c>
      <c r="N9" s="78">
        <f t="shared" si="5"/>
        <v>26819</v>
      </c>
      <c r="O9" s="260">
        <f t="shared" ref="O9:W9" si="7">+ROUND(N9*1,0)</f>
        <v>26819</v>
      </c>
      <c r="P9" s="260">
        <f t="shared" si="7"/>
        <v>26819</v>
      </c>
      <c r="Q9" s="260">
        <f t="shared" si="7"/>
        <v>26819</v>
      </c>
      <c r="R9" s="260">
        <f t="shared" si="7"/>
        <v>26819</v>
      </c>
      <c r="S9" s="260">
        <f t="shared" si="7"/>
        <v>26819</v>
      </c>
      <c r="T9" s="260">
        <f t="shared" si="7"/>
        <v>26819</v>
      </c>
      <c r="U9" s="260">
        <f t="shared" si="7"/>
        <v>26819</v>
      </c>
      <c r="V9" s="260">
        <f t="shared" si="7"/>
        <v>26819</v>
      </c>
      <c r="W9" s="260">
        <f t="shared" si="7"/>
        <v>26819</v>
      </c>
    </row>
    <row r="10" spans="2:23" ht="12.75" customHeight="1" thickBot="1" x14ac:dyDescent="0.25">
      <c r="B10" s="79" t="s">
        <v>101</v>
      </c>
      <c r="C10" s="12">
        <v>0</v>
      </c>
      <c r="D10" s="245">
        <f t="shared" si="1"/>
        <v>0</v>
      </c>
      <c r="E10" s="245">
        <f t="shared" si="0"/>
        <v>6.6408526526862618E-2</v>
      </c>
      <c r="F10" s="67">
        <v>46327</v>
      </c>
      <c r="G10" s="261">
        <f t="shared" si="3"/>
        <v>1079.5999999999999</v>
      </c>
      <c r="H10" s="71">
        <f t="shared" si="4"/>
        <v>1079.60354883584</v>
      </c>
      <c r="I10" s="74" t="s">
        <v>102</v>
      </c>
      <c r="J10" s="78">
        <v>0</v>
      </c>
      <c r="K10" s="78">
        <f>+ROUND(J10*1,0)</f>
        <v>0</v>
      </c>
      <c r="L10" s="78">
        <f>+ROUND(K10*1.024,0)</f>
        <v>0</v>
      </c>
      <c r="M10" s="78">
        <f>+ROUND(L10*1.022,0)</f>
        <v>0</v>
      </c>
      <c r="N10" s="78">
        <f t="shared" si="5"/>
        <v>0</v>
      </c>
      <c r="O10" s="260">
        <f t="shared" ref="O10:W10" si="8">+ROUND(N10*1,0)</f>
        <v>0</v>
      </c>
      <c r="P10" s="260">
        <f t="shared" si="8"/>
        <v>0</v>
      </c>
      <c r="Q10" s="260">
        <f t="shared" si="8"/>
        <v>0</v>
      </c>
      <c r="R10" s="260">
        <f t="shared" si="8"/>
        <v>0</v>
      </c>
      <c r="S10" s="260">
        <f t="shared" si="8"/>
        <v>0</v>
      </c>
      <c r="T10" s="260">
        <f t="shared" si="8"/>
        <v>0</v>
      </c>
      <c r="U10" s="260">
        <f t="shared" si="8"/>
        <v>0</v>
      </c>
      <c r="V10" s="260">
        <f t="shared" si="8"/>
        <v>0</v>
      </c>
      <c r="W10" s="260">
        <f t="shared" si="8"/>
        <v>0</v>
      </c>
    </row>
    <row r="11" spans="2:23" ht="12.75" customHeight="1" thickBot="1" x14ac:dyDescent="0.25">
      <c r="B11" s="79" t="s">
        <v>103</v>
      </c>
      <c r="C11" s="12">
        <v>0</v>
      </c>
      <c r="D11" s="245">
        <f t="shared" si="1"/>
        <v>0</v>
      </c>
      <c r="E11" s="245">
        <f t="shared" ref="E11:E17" si="9">+(G11-$G$4)/$G$4</f>
        <v>6.6408526526862618E-2</v>
      </c>
      <c r="F11" s="67">
        <v>46357</v>
      </c>
      <c r="G11" s="261">
        <f t="shared" si="3"/>
        <v>1079.5999999999999</v>
      </c>
      <c r="H11" s="71">
        <f t="shared" si="4"/>
        <v>1079.60354883584</v>
      </c>
      <c r="U11" s="65"/>
    </row>
    <row r="12" spans="2:23" ht="12.75" customHeight="1" thickBot="1" x14ac:dyDescent="0.25">
      <c r="B12" s="79" t="s">
        <v>104</v>
      </c>
      <c r="C12" s="12">
        <v>0</v>
      </c>
      <c r="D12" s="245">
        <f t="shared" si="1"/>
        <v>0</v>
      </c>
      <c r="E12" s="245">
        <f t="shared" si="9"/>
        <v>6.6408526526862618E-2</v>
      </c>
      <c r="F12" s="67">
        <v>46388</v>
      </c>
      <c r="G12" s="261">
        <f t="shared" si="3"/>
        <v>1079.5999999999999</v>
      </c>
      <c r="H12" s="71">
        <f t="shared" si="4"/>
        <v>1079.60354883584</v>
      </c>
      <c r="I12" s="81" t="s">
        <v>105</v>
      </c>
      <c r="J12" s="82">
        <f>+Total!E13</f>
        <v>0</v>
      </c>
      <c r="L12" s="81" t="s">
        <v>106</v>
      </c>
      <c r="M12" s="83">
        <f>+Total!E11</f>
        <v>0</v>
      </c>
      <c r="O12" s="84" t="s">
        <v>107</v>
      </c>
      <c r="P12" s="74" t="s">
        <v>108</v>
      </c>
      <c r="Q12" s="85" t="s">
        <v>25</v>
      </c>
      <c r="R12" s="86" t="s">
        <v>109</v>
      </c>
      <c r="S12" s="86" t="s">
        <v>110</v>
      </c>
      <c r="T12" s="65"/>
    </row>
    <row r="13" spans="2:23" ht="12.75" customHeight="1" thickBot="1" x14ac:dyDescent="0.25">
      <c r="B13" s="79" t="s">
        <v>251</v>
      </c>
      <c r="C13" s="12">
        <v>0</v>
      </c>
      <c r="D13" s="245">
        <f t="shared" si="1"/>
        <v>0</v>
      </c>
      <c r="E13" s="245">
        <f t="shared" si="9"/>
        <v>6.6408526526862618E-2</v>
      </c>
      <c r="F13" s="67">
        <v>46419</v>
      </c>
      <c r="G13" s="261">
        <f t="shared" si="3"/>
        <v>1079.5999999999999</v>
      </c>
      <c r="H13" s="71">
        <f t="shared" si="4"/>
        <v>1079.60354883584</v>
      </c>
      <c r="O13" s="84"/>
      <c r="P13" s="87"/>
      <c r="Q13" s="85"/>
      <c r="R13" s="74"/>
      <c r="S13" s="74"/>
      <c r="T13" s="65"/>
    </row>
    <row r="14" spans="2:23" ht="12.75" customHeight="1" thickBot="1" x14ac:dyDescent="0.25">
      <c r="B14" s="79" t="s">
        <v>111</v>
      </c>
      <c r="C14" s="12">
        <v>0</v>
      </c>
      <c r="D14" s="245">
        <f t="shared" si="1"/>
        <v>0</v>
      </c>
      <c r="E14" s="245">
        <f t="shared" si="9"/>
        <v>6.6408526526862618E-2</v>
      </c>
      <c r="F14" s="67">
        <v>46447</v>
      </c>
      <c r="G14" s="261">
        <f t="shared" si="3"/>
        <v>1079.5999999999999</v>
      </c>
      <c r="H14" s="71">
        <f t="shared" si="4"/>
        <v>1079.60354883584</v>
      </c>
      <c r="L14" s="81" t="s">
        <v>112</v>
      </c>
      <c r="M14" s="88">
        <f>IF(Total!D9=Tablas!B8,IF(Total!E15&gt;60%,60%,Total!E15),IF(OR(Total!D9=Tablas!B11,Total!D9=Tablas!B12),IF(Total!E15&gt;50%,50%,Total!E15),IF(Total!D9=B10,"",Total!E15)))</f>
        <v>0</v>
      </c>
      <c r="N14" s="1"/>
      <c r="O14" s="84" t="s">
        <v>111</v>
      </c>
      <c r="P14" s="87" t="s">
        <v>113</v>
      </c>
      <c r="Q14" s="85" t="s">
        <v>114</v>
      </c>
      <c r="R14" s="74" t="s">
        <v>115</v>
      </c>
      <c r="S14" s="74" t="s">
        <v>115</v>
      </c>
    </row>
    <row r="15" spans="2:23" ht="12.75" customHeight="1" thickBot="1" x14ac:dyDescent="0.25">
      <c r="B15" s="79" t="s">
        <v>116</v>
      </c>
      <c r="C15" s="12">
        <v>0</v>
      </c>
      <c r="D15" s="245">
        <f t="shared" si="1"/>
        <v>0</v>
      </c>
      <c r="E15" s="245">
        <f t="shared" si="9"/>
        <v>6.6408526526862618E-2</v>
      </c>
      <c r="F15" s="67">
        <v>46478</v>
      </c>
      <c r="G15" s="261">
        <f t="shared" si="3"/>
        <v>1079.5999999999999</v>
      </c>
      <c r="H15" s="71">
        <f t="shared" si="4"/>
        <v>1079.60354883584</v>
      </c>
      <c r="I15" s="89" t="s">
        <v>117</v>
      </c>
      <c r="L15" s="1"/>
      <c r="M15" s="1"/>
      <c r="N15" s="1"/>
      <c r="O15" s="84" t="s">
        <v>116</v>
      </c>
      <c r="P15" s="87" t="s">
        <v>118</v>
      </c>
      <c r="Q15" s="85" t="s">
        <v>119</v>
      </c>
      <c r="R15" s="74" t="s">
        <v>120</v>
      </c>
      <c r="S15" s="74" t="s">
        <v>120</v>
      </c>
    </row>
    <row r="16" spans="2:23" ht="12.75" customHeight="1" thickBot="1" x14ac:dyDescent="0.25">
      <c r="B16" s="79" t="s">
        <v>121</v>
      </c>
      <c r="C16" s="12">
        <v>1</v>
      </c>
      <c r="D16" s="245">
        <f t="shared" si="1"/>
        <v>0</v>
      </c>
      <c r="E16" s="245">
        <f t="shared" si="9"/>
        <v>6.6408526526862618E-2</v>
      </c>
      <c r="F16" s="67">
        <v>46508</v>
      </c>
      <c r="G16" s="261">
        <f t="shared" si="3"/>
        <v>1079.5999999999999</v>
      </c>
      <c r="H16" s="71">
        <f t="shared" si="4"/>
        <v>1079.60354883584</v>
      </c>
      <c r="I16" s="90" t="s">
        <v>109</v>
      </c>
      <c r="J16" s="8"/>
      <c r="K16" s="91">
        <f>+Total!E23</f>
        <v>0</v>
      </c>
      <c r="L16" s="1"/>
      <c r="M16" s="232"/>
      <c r="N16" s="233"/>
      <c r="O16" s="1"/>
      <c r="P16" s="87" t="s">
        <v>122</v>
      </c>
      <c r="Q16" s="1"/>
      <c r="R16" s="74" t="s">
        <v>123</v>
      </c>
      <c r="S16" s="74" t="s">
        <v>123</v>
      </c>
    </row>
    <row r="17" spans="2:23" ht="12.75" customHeight="1" thickBot="1" x14ac:dyDescent="0.25">
      <c r="B17" s="79" t="s">
        <v>124</v>
      </c>
      <c r="C17" s="12">
        <v>2</v>
      </c>
      <c r="D17" s="245">
        <f t="shared" si="1"/>
        <v>0</v>
      </c>
      <c r="E17" s="245">
        <f t="shared" si="9"/>
        <v>6.6408526526862618E-2</v>
      </c>
      <c r="F17" s="67">
        <v>46539</v>
      </c>
      <c r="G17" s="261">
        <f t="shared" si="3"/>
        <v>1079.5999999999999</v>
      </c>
      <c r="H17" s="71">
        <f t="shared" si="4"/>
        <v>1079.60354883584</v>
      </c>
      <c r="I17" s="93" t="s">
        <v>125</v>
      </c>
      <c r="J17" s="94" t="s">
        <v>227</v>
      </c>
      <c r="K17" s="95" t="s">
        <v>126</v>
      </c>
      <c r="L17" s="1"/>
      <c r="M17" s="232"/>
      <c r="N17" s="233"/>
      <c r="O17" s="1"/>
      <c r="P17" s="87" t="s">
        <v>127</v>
      </c>
      <c r="Q17" s="1"/>
      <c r="R17" s="74" t="s">
        <v>128</v>
      </c>
      <c r="S17" s="1"/>
      <c r="U17" s="65"/>
    </row>
    <row r="18" spans="2:23" ht="12.75" customHeight="1" thickBot="1" x14ac:dyDescent="0.25">
      <c r="B18" s="79" t="s">
        <v>129</v>
      </c>
      <c r="C18" s="12">
        <v>3</v>
      </c>
      <c r="D18" s="21"/>
      <c r="H18" s="226"/>
      <c r="I18" s="96"/>
      <c r="J18" s="97">
        <v>0</v>
      </c>
      <c r="K18" s="98">
        <v>0</v>
      </c>
      <c r="L18" s="1"/>
      <c r="M18" s="232"/>
      <c r="N18" s="233"/>
      <c r="O18" s="1"/>
      <c r="P18" s="87" t="s">
        <v>130</v>
      </c>
      <c r="Q18" s="1"/>
    </row>
    <row r="19" spans="2:23" ht="12.75" customHeight="1" thickBot="1" x14ac:dyDescent="0.25">
      <c r="B19" s="79" t="s">
        <v>131</v>
      </c>
      <c r="C19" s="12">
        <v>0</v>
      </c>
      <c r="F19" s="99" t="s">
        <v>93</v>
      </c>
      <c r="G19" s="100" t="str">
        <f>+IF(OR(B5=0,B32=0),"",VLOOKUP(Total!D3,Tablas!F2:G17,2,FALSE))</f>
        <v/>
      </c>
      <c r="H19" s="227"/>
      <c r="I19" s="96" t="s">
        <v>115</v>
      </c>
      <c r="J19" s="102">
        <v>3242</v>
      </c>
      <c r="K19" s="98">
        <f>IFERROR(IF(OR(Total!$D$3=Tablas!$F$5,Total!$D$3=Tablas!$F$6,Total!$D$3=Tablas!$F$7,Total!$D$3=Tablas!$F$8,Total!$D$3=Tablas!$F$9,Total!$D$3=Tablas!$F$10,Total!$D$3=Tablas!$F$11),$J19*$G$19,$J19*$G$19),0)</f>
        <v>0</v>
      </c>
      <c r="L19" s="1"/>
      <c r="M19" s="1"/>
      <c r="N19" s="1"/>
      <c r="O19" s="1"/>
      <c r="P19" s="87" t="s">
        <v>132</v>
      </c>
      <c r="Q19" s="1"/>
    </row>
    <row r="20" spans="2:23" ht="12.75" customHeight="1" thickBot="1" x14ac:dyDescent="0.25">
      <c r="B20" s="79" t="s">
        <v>133</v>
      </c>
      <c r="C20" s="12">
        <v>0</v>
      </c>
      <c r="F20" s="103"/>
      <c r="G20" s="104"/>
      <c r="H20" s="1"/>
      <c r="I20" s="96" t="s">
        <v>120</v>
      </c>
      <c r="J20" s="102">
        <v>2880</v>
      </c>
      <c r="K20" s="98">
        <f>IFERROR(IF(OR(Total!$D$3=Tablas!$F$5,Total!$D$3=Tablas!$F$6,Total!$D$3=Tablas!$F$7,Total!$D$3=Tablas!$F$8,Total!$D$3=Tablas!$F$9,Total!$D$3=Tablas!$F$10,Total!$D$3=Tablas!$F$11),$J20*$G$19,$J20*$G$19),0)</f>
        <v>0</v>
      </c>
      <c r="L20" s="1"/>
      <c r="M20" s="297" t="s">
        <v>17</v>
      </c>
      <c r="N20" s="298"/>
      <c r="O20" s="298"/>
      <c r="P20" s="299"/>
      <c r="Q20" s="2"/>
      <c r="T20" s="105"/>
    </row>
    <row r="21" spans="2:23" ht="12.75" customHeight="1" x14ac:dyDescent="0.2">
      <c r="B21" s="79" t="s">
        <v>252</v>
      </c>
      <c r="C21" s="12">
        <v>0</v>
      </c>
      <c r="F21" s="76" t="s">
        <v>134</v>
      </c>
      <c r="G21" s="106">
        <f>+IF(OR(B5=0,B32=0),0,IF(AND(OR(B5=4,B5=5,B5=7,B5=8),OR(Total!E6="E",Total!E6="F")),"",IF(AND(B5=8,OR(Total!E6="c",Total!E6="d")),"",IF(Total!D3=Tablas!F3,VLOOKUP(Total!E6,Tablas!$G$48:$J$53,4,FALSE)*G19,(VLOOKUP(Total!E6,$G$54:$J$59,4,FALSE)*G19)))))</f>
        <v>0</v>
      </c>
      <c r="H21" s="92"/>
      <c r="I21" s="96" t="s">
        <v>123</v>
      </c>
      <c r="J21" s="102">
        <v>2521</v>
      </c>
      <c r="K21" s="98">
        <f>IFERROR(IF(OR(Total!$D$3=Tablas!$F$5,Total!$D$3=Tablas!$F$6,Total!$D$3=Tablas!$F$7,Total!$D$3=Tablas!$F$8,Total!$D$3=Tablas!$F$9,Total!$D$3=Tablas!$F$10,Total!$D$3=Tablas!$F$11),$J21*$G$19,$J21*$G$19),0)</f>
        <v>0</v>
      </c>
      <c r="L21" s="1"/>
      <c r="M21" s="74"/>
      <c r="N21" s="74" t="s">
        <v>135</v>
      </c>
      <c r="O21" s="74" t="s">
        <v>136</v>
      </c>
      <c r="P21" s="107">
        <v>43831</v>
      </c>
      <c r="Q21" s="2"/>
      <c r="R21" s="21"/>
      <c r="T21" s="108">
        <f>+G3</f>
        <v>51.91</v>
      </c>
    </row>
    <row r="22" spans="2:23" ht="12.75" customHeight="1" x14ac:dyDescent="0.2">
      <c r="B22" s="79" t="s">
        <v>137</v>
      </c>
      <c r="C22" s="12">
        <v>4</v>
      </c>
      <c r="F22" s="79" t="s">
        <v>138</v>
      </c>
      <c r="G22" s="109">
        <f>IF(Total!D3=F3,IF(OR(B5=0,B32=0),0,IF(AND(OR(B5=4,B5=5,B5=7,B5=8),OR(Total!E6="E",Total!E6="F")),"",IF(AND(B5=8,OR(Total!E6="c",Total!E6="d")),"",IF(Total!E7&lt;11,INDEX(Tablas!M54:X60,MATCH(Total!E6,Tablas!M54:M60,0),(MATCH(Total!E7,Tablas!M54:X54,0)))*G19,INDEX(Tablas!M54:X60,MATCH(Total!E6,Tablas!M54:M60,0),(MATCH(10,Tablas!M54:X54,0)))*G19)))),IF(OR(B5=0,B32=0),0,IF(AND(OR(B5=4,B5=5,B5=7,B5=8),OR(Total!E6="E",Total!E6="F")),"",IF(AND(B5=8,OR(Total!E6="c",Total!E6="d")),"",IF(Total!E7&lt;11,INDEX(Tablas!M61:X67,MATCH(Total!E6,Tablas!M61:M67,0),(MATCH(Total!E7,Tablas!M61:X61,0)))*G19,INDEX(Tablas!M61:X67,MATCH(Total!E6,Tablas!M61:M67,0),(MATCH(10,Tablas!M61:X61,0)))*G19)))))</f>
        <v>0</v>
      </c>
      <c r="H22" s="1"/>
      <c r="I22" s="96" t="s">
        <v>128</v>
      </c>
      <c r="J22" s="102">
        <v>2161</v>
      </c>
      <c r="K22" s="98">
        <f>IFERROR(IF(OR(Total!$D$3=Tablas!$F$5,Total!$D$3=Tablas!$F$6,Total!$D$3=Tablas!$F$7,Total!$D$3=Tablas!$F$8,Total!$D$3=Tablas!$F$9,Total!$D$3=Tablas!$F$10,Total!$D$3=Tablas!$F$11),$J22*$G$19,$J22*$G$19),0)</f>
        <v>0</v>
      </c>
      <c r="L22" s="1"/>
      <c r="M22" s="74" t="str">
        <f t="shared" ref="M22:N22" si="10">+B16</f>
        <v>Art. 9Agrupamiento Profesional</v>
      </c>
      <c r="N22" s="74">
        <f t="shared" si="10"/>
        <v>1</v>
      </c>
      <c r="O22" s="110">
        <v>0.2</v>
      </c>
      <c r="P22" s="110">
        <v>0.2</v>
      </c>
      <c r="Q22" s="2"/>
      <c r="R22" s="80"/>
      <c r="S22" s="111" t="s">
        <v>139</v>
      </c>
      <c r="T22" s="105">
        <v>808</v>
      </c>
      <c r="U22">
        <f>+T22*T21</f>
        <v>41943.28</v>
      </c>
    </row>
    <row r="23" spans="2:23" ht="12.75" customHeight="1" x14ac:dyDescent="0.2">
      <c r="B23" s="79" t="s">
        <v>140</v>
      </c>
      <c r="C23" s="12">
        <v>5</v>
      </c>
      <c r="F23" s="79" t="s">
        <v>141</v>
      </c>
      <c r="G23" s="109">
        <f>IF(Total!D3=F3,IF(OR(B5=0,B32=0),0,IF(AND(OR(B5=4,B5=5,B5=7,B5=8),OR(Total!E6="E",Total!E6="F")),0,IF(AND(B5=8,OR(Total!E6="c",Total!E6="d")),0,IF(Total!E7&lt;11,0,(Total!E7-10)*INDEX(Tablas!Z54:AA60,MATCH(Total!E6,Tablas!Z54:Z60,0),(MATCH("adicional",Tablas!Z54:AA54,0)))*G19)))),IF(OR(B5=0,B32=0),0,IF(AND(OR(B5=4,B5=5,B5=7,B5=8),OR(Total!E6="E",Total!E6="F")),"",IF(AND(B5=8,OR(Total!E6="c",Total!E6="d")),0,IF(Total!E7&lt;11,0,(Total!E7-10)*INDEX(Tablas!Z61:AA67,MATCH(Total!E6,Tablas!Z61:Z67,0),(MATCH("adicional",Tablas!Z61:AA61,0)))*G19)))))</f>
        <v>0</v>
      </c>
      <c r="H23" s="1"/>
      <c r="I23" s="112" t="s">
        <v>110</v>
      </c>
      <c r="J23" s="1"/>
      <c r="K23" s="113">
        <f>+Total!E24</f>
        <v>0</v>
      </c>
      <c r="L23" s="1"/>
      <c r="M23" s="74" t="str">
        <f t="shared" ref="M23:N23" si="11">+B17</f>
        <v>Art. 9Capacitación Terciaria</v>
      </c>
      <c r="N23" s="74">
        <f t="shared" si="11"/>
        <v>2</v>
      </c>
      <c r="O23" s="110">
        <v>0.1</v>
      </c>
      <c r="P23" s="110">
        <v>0.1</v>
      </c>
      <c r="Q23" s="2"/>
      <c r="R23" s="1"/>
      <c r="S23" s="111" t="s">
        <v>142</v>
      </c>
      <c r="T23" s="105">
        <v>185</v>
      </c>
      <c r="U23">
        <f>+T23*T21</f>
        <v>9603.3499999999985</v>
      </c>
    </row>
    <row r="24" spans="2:23" ht="12.75" customHeight="1" x14ac:dyDescent="0.2">
      <c r="B24" s="79" t="s">
        <v>143</v>
      </c>
      <c r="C24" s="12">
        <v>6</v>
      </c>
      <c r="F24" s="79" t="s">
        <v>144</v>
      </c>
      <c r="G24" s="109">
        <f>IF(OR(B5=0,B32=0),0,IF(AND(OR(B5=4,B5=5,B5=7,B5=8),OR(Total!E6="E",Total!E6="F")),0,IF(AND(B5=8,OR(Total!E6="c",Total!E6="d")),0,IF(AND(Total!D9=B10,OR(Total!E15&gt;0,Total!E23=I19,Total!E23=I20,Total!E23=I21,Total!E23=I22,Total!E24=I25,Total!E24=I26,Total!E24=I27)),0,VLOOKUP(Tablas!B5,Tablas!N21:O30,2,FALSE)*Tablas!G21))))</f>
        <v>0</v>
      </c>
      <c r="H24" s="2"/>
      <c r="I24" s="96" t="s">
        <v>38</v>
      </c>
      <c r="J24" s="114">
        <v>0</v>
      </c>
      <c r="K24" s="98">
        <v>0</v>
      </c>
      <c r="L24" s="229"/>
      <c r="M24" s="74" t="str">
        <f t="shared" ref="M24:N24" si="12">+B18</f>
        <v>Art. 9Compensación Transitoria</v>
      </c>
      <c r="N24" s="74">
        <f t="shared" si="12"/>
        <v>3</v>
      </c>
      <c r="O24" s="115">
        <v>7.4999999999999997E-2</v>
      </c>
      <c r="P24" s="115">
        <v>7.4999999999999997E-2</v>
      </c>
      <c r="Q24" s="2"/>
      <c r="R24" s="1"/>
      <c r="S24" t="s">
        <v>145</v>
      </c>
      <c r="T24">
        <f>+T22*0.1</f>
        <v>80.800000000000011</v>
      </c>
      <c r="U24">
        <f>+T24*T21</f>
        <v>4194.3280000000004</v>
      </c>
    </row>
    <row r="25" spans="2:23" ht="12.75" customHeight="1" x14ac:dyDescent="0.2">
      <c r="B25" s="79" t="s">
        <v>146</v>
      </c>
      <c r="C25" s="12">
        <v>7</v>
      </c>
      <c r="F25" s="79" t="s">
        <v>147</v>
      </c>
      <c r="G25" s="116">
        <f>IF(G21=0,0,IF(M12=0,0,M12*G21))</f>
        <v>0</v>
      </c>
      <c r="H25" s="2"/>
      <c r="I25" s="96" t="s">
        <v>115</v>
      </c>
      <c r="J25" s="94">
        <v>421</v>
      </c>
      <c r="K25" s="98">
        <f>IFERROR(J25*$G$19,0)</f>
        <v>0</v>
      </c>
      <c r="L25" s="229"/>
      <c r="M25" s="74" t="str">
        <f t="shared" ref="M25:N25" si="13">+B22</f>
        <v>PPAgrupamiento Profesional</v>
      </c>
      <c r="N25" s="74">
        <f t="shared" si="13"/>
        <v>4</v>
      </c>
      <c r="O25" s="110">
        <v>0.4</v>
      </c>
      <c r="P25" s="110">
        <v>0.35</v>
      </c>
      <c r="Q25" s="1"/>
      <c r="R25" s="1"/>
      <c r="S25" s="1"/>
      <c r="T25">
        <f>+T22+T23+T24</f>
        <v>1073.8</v>
      </c>
    </row>
    <row r="26" spans="2:23" ht="12.75" customHeight="1" x14ac:dyDescent="0.2">
      <c r="B26" s="79" t="s">
        <v>148</v>
      </c>
      <c r="C26" s="12">
        <v>8</v>
      </c>
      <c r="F26" s="79" t="s">
        <v>93</v>
      </c>
      <c r="G26" s="117">
        <f>+IF($G$21=0,0,IF(J12=0,0,$J$12*$G$19))</f>
        <v>0</v>
      </c>
      <c r="H26" s="2"/>
      <c r="I26" s="96" t="s">
        <v>120</v>
      </c>
      <c r="J26" s="94">
        <v>316</v>
      </c>
      <c r="K26" s="98">
        <f>IFERROR(J26*$G$19,0)</f>
        <v>0</v>
      </c>
      <c r="L26" s="1"/>
      <c r="M26" s="74" t="str">
        <f t="shared" ref="M26:N26" si="14">+B23</f>
        <v>PPCapacitación Terciaria</v>
      </c>
      <c r="N26" s="74">
        <f t="shared" si="14"/>
        <v>5</v>
      </c>
      <c r="O26" s="110">
        <v>0.25</v>
      </c>
      <c r="P26" s="110">
        <v>0.25</v>
      </c>
      <c r="Q26" s="1"/>
      <c r="R26" s="1"/>
      <c r="S26" s="1"/>
      <c r="T26">
        <f>+T25*T21</f>
        <v>55740.957999999991</v>
      </c>
    </row>
    <row r="27" spans="2:23" ht="12.75" customHeight="1" thickBot="1" x14ac:dyDescent="0.25">
      <c r="B27" s="118" t="s">
        <v>253</v>
      </c>
      <c r="C27" s="45">
        <v>9</v>
      </c>
      <c r="F27" s="79" t="s">
        <v>149</v>
      </c>
      <c r="G27" s="119">
        <f>IF($G$21="",0,IF(M14="",0,M14*G21))</f>
        <v>0</v>
      </c>
      <c r="H27" s="101"/>
      <c r="I27" s="96" t="s">
        <v>123</v>
      </c>
      <c r="J27" s="94">
        <v>253</v>
      </c>
      <c r="K27" s="98">
        <f>IFERROR(J27*$G$19,0)</f>
        <v>0</v>
      </c>
      <c r="L27" s="1"/>
      <c r="M27" s="74" t="str">
        <f t="shared" ref="M27:N27" si="15">+B24</f>
        <v>PPCompensación Transitoria</v>
      </c>
      <c r="N27" s="74">
        <f t="shared" si="15"/>
        <v>6</v>
      </c>
      <c r="O27" s="115">
        <v>7.4999999999999997E-2</v>
      </c>
      <c r="P27" s="115">
        <v>7.4999999999999997E-2</v>
      </c>
      <c r="Q27" s="1"/>
      <c r="R27" s="1"/>
    </row>
    <row r="28" spans="2:23" ht="12.75" customHeight="1" x14ac:dyDescent="0.2">
      <c r="F28" s="79" t="s">
        <v>24</v>
      </c>
      <c r="G28" s="120">
        <f>IF($G$21=0,0,IF(Total!E17="",0,IF(Total!E17="SÍ",VLOOKUP(Total!D3,Tablas!F70:S83,3,FALSE),"")))</f>
        <v>0</v>
      </c>
      <c r="H28" s="2"/>
      <c r="I28" s="121" t="s">
        <v>150</v>
      </c>
      <c r="J28" s="122"/>
      <c r="K28" s="123"/>
      <c r="L28" s="1"/>
      <c r="M28" s="74" t="str">
        <f t="shared" ref="M28:N28" si="16">+B25</f>
        <v>PPCientífico Técnico</v>
      </c>
      <c r="N28" s="74">
        <f t="shared" si="16"/>
        <v>7</v>
      </c>
      <c r="O28" s="110">
        <v>0.5</v>
      </c>
      <c r="P28" s="110">
        <v>0.4</v>
      </c>
      <c r="Q28" s="1"/>
      <c r="R28" s="1"/>
    </row>
    <row r="29" spans="2:23" ht="12.75" customHeight="1" x14ac:dyDescent="0.2">
      <c r="F29" s="79" t="s">
        <v>25</v>
      </c>
      <c r="G29" s="124">
        <f>IF($G$21="",0,IF(Total!E20=0,0,IF(Total!E5="Art. 9",0,IF(Total!E20="Intermedio",G21*0.15,IF(Total!E20="Avanzado",G21*0.3,0)))))</f>
        <v>0</v>
      </c>
      <c r="H29" s="125" t="s">
        <v>151</v>
      </c>
      <c r="I29" s="126">
        <f>+IF(K16=0,0,VLOOKUP(K16,$I$18:$K$22,3,FALSE))</f>
        <v>0</v>
      </c>
      <c r="J29" s="1"/>
      <c r="K29" s="124">
        <f>+IF(AND(I29=0,I30=0),0,IF(AND(I29&gt;0,I30&gt;0),0.001,IF(I30-I29&gt;0,I30,I29)))</f>
        <v>0</v>
      </c>
      <c r="L29" s="1"/>
      <c r="M29" s="74" t="str">
        <f t="shared" ref="M29:N29" si="17">+B26</f>
        <v>PPEspecializado</v>
      </c>
      <c r="N29" s="74">
        <f t="shared" si="17"/>
        <v>8</v>
      </c>
      <c r="O29" s="110">
        <v>0.5</v>
      </c>
      <c r="P29" s="110">
        <v>0.5</v>
      </c>
      <c r="Q29" s="1"/>
      <c r="R29" s="1"/>
    </row>
    <row r="30" spans="2:23" ht="12.75" customHeight="1" thickBot="1" x14ac:dyDescent="0.25">
      <c r="B30" s="20" t="s">
        <v>152</v>
      </c>
      <c r="F30" s="79" t="s">
        <v>153</v>
      </c>
      <c r="G30" s="124">
        <f>+IF($G$21=0,0,IF(OR(K29=0,K29=0.001),0,IF(Total!E5="Art. 9",0,K29)))</f>
        <v>0</v>
      </c>
      <c r="H30" s="125" t="s">
        <v>154</v>
      </c>
      <c r="I30" s="127">
        <f>+IF(K23=0,0,VLOOKUP(K23,$I$24:$K$27,3,FALSE))</f>
        <v>0</v>
      </c>
      <c r="J30" s="44"/>
      <c r="K30" s="128" t="str">
        <f>+IF(AND(Total!E5="Art. 9",OR(Total!E20="Intermedio",Total!E20="Avanzado",K29&gt;0)),"ERROR: El Art. 9 es incompatible con la opción de Tramo y Suplementos",IF(AND(I29&gt;0,I30&gt;0),"ERROR: Debe elegir uno de los suplementos: Función Ejecutiva o Jefatura.",""))</f>
        <v/>
      </c>
      <c r="L30" s="1"/>
      <c r="M30" s="74" t="str">
        <f t="shared" ref="M30:N30" si="18">+B27</f>
        <v>PPAsignación/Designación Transitoria F. Ej.</v>
      </c>
      <c r="N30" s="74">
        <f t="shared" si="18"/>
        <v>9</v>
      </c>
      <c r="O30" s="110">
        <v>0</v>
      </c>
      <c r="P30" s="110">
        <v>0</v>
      </c>
      <c r="Q30" s="1"/>
    </row>
    <row r="31" spans="2:23" ht="12.75" customHeight="1" thickBot="1" x14ac:dyDescent="0.25">
      <c r="B31" s="70" t="str">
        <f>+Total!E6&amp;IF(Total!E7="","",IF(Total!E7&gt;=0,10,Total!E7))</f>
        <v/>
      </c>
      <c r="F31" s="79" t="s">
        <v>155</v>
      </c>
      <c r="G31" s="129">
        <f>+IF($G$21="",0,IF(G44=0,0,$G$44))</f>
        <v>0</v>
      </c>
      <c r="K31" s="21" t="s">
        <v>156</v>
      </c>
      <c r="L31" s="1"/>
      <c r="Q31" s="1"/>
      <c r="R31" s="1"/>
    </row>
    <row r="32" spans="2:23" ht="12.75" customHeight="1" thickBot="1" x14ac:dyDescent="0.25">
      <c r="B32" s="70">
        <f>+IF(B31="",0,IF(Total!E6="",0,IF(VLOOKUP(B31,B34:C57,2,FALSE)=0,0,10)))</f>
        <v>0</v>
      </c>
      <c r="F32" s="79" t="s">
        <v>32</v>
      </c>
      <c r="G32" s="130">
        <f>+IF($G$21=0,0,IF(I3=0,0,INDEX(I5:W10,MATCH(I3,I5:I10,0),(MATCH(Total!D3,I5:W5,0)))))</f>
        <v>0</v>
      </c>
      <c r="I32" s="131" t="str">
        <f>+IF(AND(OR(B5=4,B5=5,B5=7,B5=8),OR(Total!E6="E",Total!E6="F")),"ERROR: No existe el nivel E y F para PP Agrupamiento Profesional, Terciario, Científico Técnico ni Especializado",IF(AND(B5=8,OR(Total!E6="c",Total!E6="d")),"ERROR: No existen los niveles C, D E y F para PP Agrupamiento Especializado",IF(AND(Total!E5="Art. 9",OR(Total!D9=Tablas!B11,Total!D9=Tablas!B12,Total!D9=Tablas!B13)),"ERROR: El Art. 9 es incompatible con Agrupamiento Científico Técnico, Especializado y Asignación/Designación Transitoria F. Ej.","")))</f>
        <v/>
      </c>
      <c r="J32" s="21" t="s">
        <v>157</v>
      </c>
      <c r="L32" s="1"/>
      <c r="M32" s="300" t="s">
        <v>158</v>
      </c>
      <c r="N32" s="301"/>
      <c r="O32" s="132" t="s">
        <v>95</v>
      </c>
      <c r="Q32" s="76" t="s">
        <v>159</v>
      </c>
      <c r="R32" s="133">
        <f>SUM(R33:R35)</f>
        <v>0</v>
      </c>
      <c r="T32" s="302" t="s">
        <v>160</v>
      </c>
      <c r="U32" s="299"/>
      <c r="W32" s="134" t="s">
        <v>161</v>
      </c>
    </row>
    <row r="33" spans="2:27" ht="12.75" customHeight="1" x14ac:dyDescent="0.2">
      <c r="B33" s="21" t="s">
        <v>162</v>
      </c>
      <c r="F33" s="79" t="s">
        <v>163</v>
      </c>
      <c r="G33" s="135">
        <f>+IF($G$21=0,0,IF(Total!E33=0,0,IF(N41=0,0,N42*Total!E33)))</f>
        <v>0</v>
      </c>
      <c r="L33" s="1"/>
      <c r="M33" s="76" t="s">
        <v>164</v>
      </c>
      <c r="N33" s="136" t="str">
        <f>+IF(Total!K30="NO",IF(OR(Total!J33="a",Total!J33="b"),"",IF(OR(Total!J33="c",Total!J33="d",Total!J33="e",Total!J33="f"),IF(OR(Total!D3=Tablas!F13,Total!D3=Tablas!F14),VLOOKUP(Total!J33,Tablas!$G$54:$J$59,4,FALSE)*VLOOKUP(Total!D3,Tablas!F70:S83,13,FALSE),(VLOOKUP(Total!J33,Tablas!$G$54:J$59,4,FALSE)*VLOOKUP(Total!D3,Tablas!F70:S83,13,FALSE))))),IF(OR(Total!K30="",Total!E6="a",Total!E6="b"),"",IF(OR(Total!E6="c",Total!E6="d",Total!E6="e",Total!E6="f"),IF(OR(Total!D3=Tablas!F13,Total!D3=Tablas!F14),VLOOKUP(Total!E6,Tablas!$G$54:J$59,4,FALSE)*VLOOKUP(Total!D3,Tablas!F70:S83,13,FALSE),VLOOKUP(Total!E6,Tablas!$G$54:J$59,4,FALSE)*VLOOKUP(Total!D3,Tablas!F70:S83,13,FALSE)))))</f>
        <v/>
      </c>
      <c r="O33" s="137" t="str">
        <f>+Total!J32&amp;Total!J35</f>
        <v/>
      </c>
      <c r="P33" s="1"/>
      <c r="Q33" s="138" t="s">
        <v>164</v>
      </c>
      <c r="R33" s="139" t="str">
        <f t="shared" ref="R33:R34" si="19">+N33</f>
        <v/>
      </c>
      <c r="T33" s="140" t="s">
        <v>165</v>
      </c>
      <c r="U33" s="141" t="str">
        <f>IF(OR(B5=0,B32=0),"",IF(N33=0,"",IF(Total!K30="NO",VLOOKUP(Total!J33,Tablas!$G$62:$J$67,4,FALSE)*G3,IF(Total!K30="SÍ",VLOOKUP(Total!E6,Tablas!$G$62:$J$67,4,FALSE)*G3,""))))</f>
        <v/>
      </c>
      <c r="W33" s="1" t="s">
        <v>166</v>
      </c>
    </row>
    <row r="34" spans="2:27" ht="12.75" customHeight="1" x14ac:dyDescent="0.2">
      <c r="B34" s="76"/>
      <c r="C34" s="9">
        <v>0</v>
      </c>
      <c r="F34" s="118" t="s">
        <v>167</v>
      </c>
      <c r="G34" s="142">
        <f>IF($G$21=0,0,IF(Total!E34=0,0,Total!E34*VLOOKUP(Total!D3,Tablas!F70:S83,14,FALSE)))</f>
        <v>0</v>
      </c>
      <c r="I34" s="1"/>
      <c r="J34" s="1"/>
      <c r="K34" s="1"/>
      <c r="M34" s="79" t="s">
        <v>168</v>
      </c>
      <c r="N34" s="139" t="str">
        <f>IF(OR(Total!D3=F12,Total!D3=F13,Total!D3=F14),IF(N33="","",IF(Total!K30="NO",IF(OR(Total!J33="a",Total!J33="b"),"",IF(OR(Total!J33="c",Total!J33="d",Total!J33="e",Total!J33="f"),IF(Total!J34&lt;11,INDEX(Tablas!$M$61:$X$67,MATCH(Total!J33,Tablas!M61:M67,0),MATCH(Total!J34,Tablas!M61:X61,0))*VLOOKUP(Total!D3,Tablas!F70:S83,13,FALSE),INDEX(Tablas!$M$61:$X$67,MATCH(Total!J33,Tablas!M61:M67,0),MATCH(10,Tablas!M61:X61,0))*VLOOKUP(Total!D3,Tablas!F70:S83,13,FALSE)))),IF(OR(Total!K30="",Total!E6="a",Total!E6="b"),"",IF(OR(Total!E6="c",Total!E6="d",Total!E6="e",Total!E6="f"),IF(Total!E7&lt;11,INDEX(Tablas!$M$61:$X$67,MATCH(Total!E6,Tablas!M61:M67,0),MATCH(Total!E7,Tablas!M61:X61,0))*VLOOKUP(Total!D3,Tablas!F70:S83,13,FALSE),INDEX(Tablas!$M$61:$X$67,MATCH(Total!E6,Tablas!M61:M67,0),MATCH(X61,Tablas!M61:X61,0))*VLOOKUP(Total!D3,Tablas!F70:S83,13,FALSE)))))),IF(N33="","",IF(Total!K30="NO",IF(OR(Total!J33="a",Total!J33="b"),"",IF(OR(Total!J33="c",Total!J33="d",Total!J33="e",Total!J33="f"),IF(Total!J34&lt;11,INDEX(Tablas!$M$61:$X$67,MATCH(Total!J33,Tablas!M61:M67,0),MATCH(Total!J34,Tablas!M61:X61,0))*VLOOKUP(Total!D3,Tablas!F70:S83,13,FALSE),INDEX(Tablas!M61:X67,MATCH(Total!J33,Tablas!M61:M67,0),MATCH(10,Tablas!M61:X61,0))*VLOOKUP(Total!D3,Tablas!F70:S83,13,FALSE)))),IF(OR(Total!K30="",Total!E6="a",Total!E6="b"),"",IF(OR(Total!E6="c",Total!E6="d",Total!E6="e",Total!E6="f"),IF(Total!E7&lt;11,INDEX(Tablas!$M$61:$X$67,MATCH(Total!E6,Tablas!M61:M67,0),MATCH(Total!E7,Tablas!M61:X61,0))*VLOOKUP(Total!D3,Tablas!F70:S83,13,FALSE),INDEX(Tablas!$M$61:$X$67,MATCH(Total!E6,Tablas!M61:M67,0),MATCH(X61,Tablas!M61:X61,0))*VLOOKUP(Total!D3,Tablas!F70:S83,13,FALSE)))))))</f>
        <v/>
      </c>
      <c r="O34" s="1"/>
      <c r="P34" s="1"/>
      <c r="Q34" s="143" t="s">
        <v>168</v>
      </c>
      <c r="R34" s="139" t="str">
        <f t="shared" si="19"/>
        <v/>
      </c>
      <c r="T34" s="103" t="s">
        <v>169</v>
      </c>
      <c r="U34" s="144" t="str">
        <f t="array" ref="U34">IF(OR(B5=0,B32=0),"",IF(Total!K30="NO",IF(Total!J34&lt;11,INDEX(Tablas!M47:X53,MATCH(Total!J33,Tablas!M47:M53,0),(MATCH(Total!J34,Tablas!M47:X47,0)))*G3,((Total!J34-10)*INDEX(Tablas!Z47:AA53,MATCH(Total!J33,Tablas!Z47:Z53,0),(MATCH("adicional",Tablas!Z47:AA47,0)))*G3+INDEX(Tablas!M47:X53,MATCH(Total!J33,Tablas!M47:M53,0),(MATCH(10,Tablas!M47:X47,0)))*G3)),IF(Total!K30="SÍ",IF(Total!E7&lt;11,INDEX(Tablas!M47:X53,MATCH(Total!E6,Tablas!M47:M53,0),(MATCH(Total!E7,Tablas!M47:X47,0)))*G3,((Total!E7-10)*INDEX(Tablas!Z47:AA53,MATCH(Total!E6,Tablas!Z47:Z53,0),(MATCH("adicional",Tablas!Z47:AA47,0)))*G3+INDEX(Tablas!M47:X53,MATCH(Total!E6,Tablas!M47:M53,0),(MATCH(10,Tablas!M47:X47,0)))*G3)),"")))</f>
        <v/>
      </c>
      <c r="W34" s="1" t="s">
        <v>170</v>
      </c>
    </row>
    <row r="35" spans="2:27" ht="12.75" customHeight="1" x14ac:dyDescent="0.2">
      <c r="B35" s="145">
        <v>0</v>
      </c>
      <c r="C35" s="12">
        <v>0</v>
      </c>
      <c r="I35" s="300" t="s">
        <v>171</v>
      </c>
      <c r="J35" s="301"/>
      <c r="K35" s="1"/>
      <c r="M35" s="79" t="s">
        <v>172</v>
      </c>
      <c r="N35" s="139" t="str">
        <f>IF(OR(Total!D3=F12,Total!D3=F13,Total!D3=F14),IF(N33="","",IF(Total!K30="NO",IF(OR(Total!J33="a",Total!J33="b"),"",IF(OR(Total!J33="c",Total!J33="d",Total!J33="e",Total!J33="f"),IF(Total!J34&lt;11,"",(Total!J34-10)*INDEX(Tablas!Z61:AA67,MATCH(Total!J33,Tablas!Z61:Z67,0),MATCH(AA61,Tablas!Z61:AA61,0))*VLOOKUP(Total!D3,Tablas!F70:S83,13,FALSE)))),IF(OR(Total!K30="",Total!E6="a",Total!E6="b"),"",IF(OR(Total!E6="c",Total!E6="d",Total!E6="e",Total!E6="f"),IF(Total!E7&lt;11,"",(Total!E7-10)*INDEX(Tablas!Z61:AA67,MATCH(Total!E6,Tablas!Z61:Z67,0),MATCH(AA61,Tablas!Z61:AA61,0))*VLOOKUP(Total!D3,Tablas!F70:S83,13,FALSE)))))),IF(N33="","",IF(Total!K30="NO",IF(OR(Total!J33="a",Total!J33="b"),"",IF(OR(Total!J33="c",Total!J33="d",Total!J33="e",Total!J33="f"),IF(Total!J34&lt;11,"",(Total!J34-10)*INDEX(Tablas!Z61:AA67,MATCH(Total!J33,Tablas!Z61:Z67,0),MATCH(AA61,Tablas!Z61:AA61,0))*VLOOKUP(Total!D3,Tablas!F70:S83,13,FALSE)))),IF(OR(Total!K30="",Total!E6="a",Total!E6="b"),"",IF(OR(Total!E6="c",Total!E6="d",Total!E6="e",Total!E6="f"),IF(Total!E7&lt;11,"",(Total!E7-10)*INDEX(Tablas!Z61:AA67,MATCH(Total!E6,Tablas!Z61:Z67,0),MATCH(AA61,Tablas!Z61:AA61,0))*VLOOKUP(Total!D3,Tablas!F70:S83,13,FALSE)))))))</f>
        <v/>
      </c>
      <c r="O35" s="1"/>
      <c r="P35" s="1"/>
      <c r="Q35" s="146" t="s">
        <v>173</v>
      </c>
      <c r="R35" s="147" t="str">
        <f>IF(N33="","",IF(Total!K30="NO",IF(OR(O33=M24,O33=M23,O33=M27,O33=M22),0,VLOOKUP(O33,M21:P30,3,FALSE)*N33),IF(Total!K30="SÍ",IF(OR(B4=M24,B4=M23,B4=M27,B4=M22),0,VLOOKUP(B4,M21:P30,3,FALSE)*N33))))</f>
        <v/>
      </c>
      <c r="T35" s="103" t="s">
        <v>174</v>
      </c>
      <c r="U35" s="144" t="str">
        <f>IF(OR(B5=0,B32=0),"",IF(Total!K30="NO",VLOOKUP(Tablas!O33,Tablas!M21:P30,4,FALSE)*Tablas!U33,IF(Total!K30="SÍ",VLOOKUP(Tablas!B5,Tablas!N21:P30,3,FALSE)*Tablas!U33,"")))</f>
        <v/>
      </c>
      <c r="W35" s="1" t="s">
        <v>175</v>
      </c>
    </row>
    <row r="36" spans="2:27" ht="12.75" customHeight="1" x14ac:dyDescent="0.2">
      <c r="B36" s="145">
        <v>1</v>
      </c>
      <c r="C36" s="12">
        <v>0</v>
      </c>
      <c r="E36" s="303" t="s">
        <v>176</v>
      </c>
      <c r="F36" s="122" t="s">
        <v>165</v>
      </c>
      <c r="G36" s="141" t="str">
        <f>IF(OR(B5=0,B32=0),"",IF(G21=0,"",(VLOOKUP(Total!E6,Tablas!$G$62:$J$67,4,FALSE)*G3)))</f>
        <v/>
      </c>
      <c r="H36" s="92"/>
      <c r="I36" s="76" t="str">
        <f>+H47</f>
        <v>Sueldo</v>
      </c>
      <c r="J36" s="106">
        <f>+IF(OR(B5=0,B32=0),0,IF(AND(OR(B5=4,B5=5,B5=7,B5=8),OR(Total!E6="E",Total!E6="F")),"",IF(AND(B5=8,OR(Total!E6="c",Total!E6="d")),"",IF(Total!D3=Tablas!F13,VLOOKUP(Total!E6,Tablas!$G$54:$J$59,2,FALSE)*G19,(VLOOKUP(Total!E6,Tablas!$G$54:$J$59,2,FALSE)*G19)))))</f>
        <v>0</v>
      </c>
      <c r="K36" s="92"/>
      <c r="M36" s="79" t="s">
        <v>173</v>
      </c>
      <c r="N36" s="139" t="str">
        <f>IF(N33="","",IF(Total!K30="NO",VLOOKUP(O33,M21:P30,3,FALSE)*N33,IF(Total!K30="SÍ",VLOOKUP(B4,M21:P30,3,FALSE)*N33,"")))</f>
        <v/>
      </c>
      <c r="O36" s="92"/>
      <c r="P36" s="1"/>
      <c r="R36" s="1"/>
      <c r="T36" s="103" t="s">
        <v>177</v>
      </c>
      <c r="U36" s="144" t="str">
        <f>IF(OR(B5=0,B32=0),"",IF(Total!K30="NO",IF(Total!J36=0,"",Total!J36*U33),IF(Total!K30="SÍ",IF(M12=0,"",M12*U33),"")))</f>
        <v/>
      </c>
      <c r="W36" s="1" t="s">
        <v>178</v>
      </c>
    </row>
    <row r="37" spans="2:27" ht="12.75" customHeight="1" x14ac:dyDescent="0.2">
      <c r="B37" s="145">
        <v>2</v>
      </c>
      <c r="C37" s="12">
        <v>0</v>
      </c>
      <c r="E37" s="304"/>
      <c r="F37" s="1" t="s">
        <v>169</v>
      </c>
      <c r="G37" s="144" t="str">
        <f t="array" ref="G37">IF(OR(B5=0,B32=0),"",IF(Total!E7&lt;11,INDEX(Tablas!M47:X53,MATCH(Total!E6,Tablas!M47:M53,0),(MATCH(Total!E7,Tablas!M47:X47,0)))*G3,((Total!E7-10)*INDEX(Tablas!Z47:AA53,MATCH(Total!E6,Tablas!Z47:Z53,0),(MATCH("adicional",Tablas!Z47:AA47,0)))*G3+INDEX(Tablas!M47:X53,MATCH(Total!E6,Tablas!M47:M53,0),(MATCH(10,Tablas!M47:X47,0)))*G3)))</f>
        <v/>
      </c>
      <c r="H37" s="1"/>
      <c r="I37" s="118" t="str">
        <f>+I47</f>
        <v>Ded. func.</v>
      </c>
      <c r="J37" s="149">
        <f>+IF(OR(B5=0,B32=0),0,IF(AND(OR(B5=4,B5=5,B5=7,B5=8),OR(Total!E6="E",Total!E6="F")),"",IF(AND(B5=8,OR(Total!E6="c",Total!E6="d")),"",IF(Total!D3=Tablas!F13,VLOOKUP(Total!E6,Tablas!$G$54:$J$59,3,FALSE)*G19,(VLOOKUP(Total!E6,Tablas!$G$54:$J$59,3,FALSE)*G19)))))</f>
        <v>0</v>
      </c>
      <c r="K37" s="1"/>
      <c r="M37" s="79" t="s">
        <v>179</v>
      </c>
      <c r="N37" s="139" t="str">
        <f>IF(N33="","",IF(Total!K30="NO",$N$33*Total!J36,IF(Total!K30="SÍ",$N$33*Total!E11,"")))</f>
        <v/>
      </c>
      <c r="O37" s="1"/>
      <c r="P37" s="1"/>
      <c r="R37" s="92"/>
      <c r="T37" s="103" t="s">
        <v>180</v>
      </c>
      <c r="U37" s="144" t="str">
        <f>IF(OR(B5=0,B32=0),"",IF(Total!K30="NO",IF(Total!J37=0,"",Total!J37*G36),IF(Total!K30="SÍ",IF(M14="",0,M14*G36),"")))</f>
        <v/>
      </c>
      <c r="W37" s="1" t="s">
        <v>181</v>
      </c>
    </row>
    <row r="38" spans="2:27" ht="12.75" customHeight="1" x14ac:dyDescent="0.2">
      <c r="B38" s="145">
        <v>3</v>
      </c>
      <c r="C38" s="12">
        <v>0</v>
      </c>
      <c r="E38" s="304"/>
      <c r="F38" s="1" t="s">
        <v>174</v>
      </c>
      <c r="G38" s="144" t="str">
        <f>IF(OR(B5=0,B32=0),"",VLOOKUP(Tablas!B5,Tablas!N21:P30,3,FALSE)*Tablas!G36)</f>
        <v/>
      </c>
      <c r="H38" s="1"/>
      <c r="I38" s="1"/>
      <c r="J38" s="1"/>
      <c r="K38" s="1"/>
      <c r="M38" s="79" t="s">
        <v>182</v>
      </c>
      <c r="N38" s="139" t="str">
        <f>IF(N33="","",IF(Total!K30="NO",$N$33*Total!J37,IF(Total!K30="SÍ",$N$33*Total!E15,"")))</f>
        <v/>
      </c>
      <c r="O38" s="1"/>
      <c r="P38" s="1"/>
      <c r="R38" s="1"/>
      <c r="T38" s="103" t="s">
        <v>183</v>
      </c>
      <c r="U38" s="144" t="str">
        <f>+IF(G21=0,"",IF(Total!K30="NO",IF(Total!J38=0,"",IF(Total!J38=Tablas!Q14,0.15*G3*VLOOKUP(Total!J33,G62:J67,4,FALSE),0.3*G3*VLOOKUP(Total!J33,G62:J67,4,FALSE))),IF(Total!K30="SÍ",IF(Total!E20=0,"",IF(Total!E20=Tablas!Q14,0.15*G3*VLOOKUP(Total!E6,G62:J67,4,FALSE),0.3*G3*VLOOKUP(Total!E6,G62:J67,4,FALSE))),"")))</f>
        <v/>
      </c>
      <c r="W38" s="1" t="s">
        <v>184</v>
      </c>
    </row>
    <row r="39" spans="2:27" ht="12.75" customHeight="1" x14ac:dyDescent="0.2">
      <c r="B39" s="145">
        <v>4</v>
      </c>
      <c r="C39" s="12">
        <v>0</v>
      </c>
      <c r="E39" s="304"/>
      <c r="F39" s="1" t="s">
        <v>177</v>
      </c>
      <c r="G39" s="144" t="str">
        <f>IF(OR(B5=0,B32=0),"",IF(M12=0,"",M12*G36))</f>
        <v/>
      </c>
      <c r="H39" s="1"/>
      <c r="I39" s="1"/>
      <c r="J39" s="92"/>
      <c r="K39" s="1"/>
      <c r="L39" s="148"/>
      <c r="M39" s="79" t="s">
        <v>31</v>
      </c>
      <c r="N39" s="139" t="str">
        <f>IF(N33="","",IF(Total!K30="NO",IF(Total!D3=Tablas!F6,IF(Total!J38="Intermedio",VLOOKUP(Total!J33,G54:J59,4,FALSE)*0.15*VLOOKUP(Total!D3,Tablas!F70:S83,13,FALSE),IF(Total!J38="Avanzado",VLOOKUP(Total!J33,G54:J59,4,FALSE)*0.3*VLOOKUP(Total!D3,Tablas!F70:S83,13,FALSE),"")),IF(Total!J38="Intermedio",VLOOKUP(Total!J33,G54:J59,4,FALSE)*0.15*VLOOKUP(Total!D3,Tablas!F70:S83,13,FALSE),IF(Total!J38="Avanzado",VLOOKUP(Total!J33,G54:J59,4,FALSE)*0.3*VLOOKUP(Total!D3,Tablas!F70:S83,13,FALSE),""))),IF(Total!K30="SÍ",IF(Total!D3=Tablas!F6,IF(Total!E20="Intermedio",VLOOKUP(Total!E6,G54:J59,4,FALSE)*0.15*VLOOKUP(Total!D3,Tablas!F70:S83,13,FALSE),IF(Total!E20="Avanzado",VLOOKUP(Total!E6,G54:J59,4,FALSE)*0.3*VLOOKUP(Total!D3,Tablas!F70:S83,13,FALSE),"")),IF(Total!E20="Intermedio",VLOOKUP(Total!E6,G54:J59,4,FALSE)*0.15*VLOOKUP(Total!D3,Tablas!F70:S83,13,FALSE),IF(Total!E20="Avanzado",VLOOKUP(Total!E6,G54:J59,4,FALSE)*0.3*VLOOKUP(Total!D3,Tablas!F70:S83,13,FALSE),""))))))</f>
        <v/>
      </c>
      <c r="R39" s="1"/>
      <c r="T39" s="151" t="s">
        <v>185</v>
      </c>
      <c r="U39" s="152" t="str">
        <f>+IF(AND(I29=0,I30=0),"",IF(AND(I29&gt;0,I30&gt;0),0.001,IF(I30-I29&gt;0,IF(K23=0,0,(G3*VLOOKUP(K23,$I$24:$K$27,2,FALSE))),IF(K16=0,0,(G3*VLOOKUP(K16,$I$18:$L$22,4,FALSE))))))</f>
        <v/>
      </c>
      <c r="W39" s="1" t="s">
        <v>186</v>
      </c>
    </row>
    <row r="40" spans="2:27" ht="12.75" customHeight="1" x14ac:dyDescent="0.2">
      <c r="B40" s="145">
        <v>5</v>
      </c>
      <c r="C40" s="12">
        <v>0</v>
      </c>
      <c r="E40" s="304"/>
      <c r="F40" s="1" t="s">
        <v>180</v>
      </c>
      <c r="G40" s="144" t="str">
        <f>IF(OR(B5=0,B32=0),"",IF(M14="",0,M14*G36))</f>
        <v/>
      </c>
      <c r="H40" s="1"/>
      <c r="I40" s="1"/>
      <c r="J40" s="1"/>
      <c r="K40" s="1"/>
      <c r="L40" s="148"/>
      <c r="M40" s="118" t="s">
        <v>187</v>
      </c>
      <c r="N40" s="147" t="str">
        <f>IF(N33="","",IF(Total!K30="NO",IF(Total!E33=0,"",U41),IF(Total!K30="SÍ",U41,"")))</f>
        <v/>
      </c>
      <c r="Q40" s="1"/>
      <c r="T40" s="153" t="s">
        <v>188</v>
      </c>
      <c r="U40" s="154">
        <f>SUM(U33:U39)</f>
        <v>0</v>
      </c>
      <c r="V40" s="155"/>
    </row>
    <row r="41" spans="2:27" ht="12.75" customHeight="1" x14ac:dyDescent="0.2">
      <c r="B41" s="145">
        <v>6</v>
      </c>
      <c r="C41" s="12">
        <v>0</v>
      </c>
      <c r="E41" s="304"/>
      <c r="F41" s="1" t="s">
        <v>183</v>
      </c>
      <c r="G41" s="144" t="str">
        <f>+IF(G21=0,"",IF(Total!E20=0,"",IF(Total!E20=Tablas!Q14,0.15*G3*VLOOKUP(Total!E6,G62:J67,4,FALSE),0.3*G3*VLOOKUP(Total!E6,G62:J67,4,FALSE))))</f>
        <v/>
      </c>
      <c r="H41" s="150"/>
      <c r="I41" s="1"/>
      <c r="J41" s="150"/>
      <c r="K41" s="1"/>
      <c r="L41" s="148"/>
      <c r="M41" s="132" t="s">
        <v>189</v>
      </c>
      <c r="N41" s="156">
        <f>SUM(N33:N40)</f>
        <v>0</v>
      </c>
      <c r="O41" s="1"/>
      <c r="P41" s="1"/>
      <c r="Q41" s="2"/>
      <c r="T41" s="157" t="s">
        <v>187</v>
      </c>
      <c r="U41" s="158" t="str">
        <f>+IF(U40&gt;60000,"",IF(U40&gt;56000,60000-U40,IF(U40&gt;0,4000,"")))</f>
        <v/>
      </c>
      <c r="V41" s="155"/>
    </row>
    <row r="42" spans="2:27" ht="12.75" customHeight="1" x14ac:dyDescent="0.2">
      <c r="B42" s="145">
        <v>7</v>
      </c>
      <c r="C42" s="12">
        <v>0</v>
      </c>
      <c r="E42" s="304"/>
      <c r="F42" s="159" t="s">
        <v>185</v>
      </c>
      <c r="G42" s="152" t="str">
        <f>IF(G21=0,"",IF(AND(I29=0,I30=0),"",IF(AND(I29&gt;0,I30&gt;0),0.001,IF(I30-I29&gt;0,IF(K23=0,0,(G3*VLOOKUP(K23,$I$24:$K$27,2,FALSE))),IF(K16=0,0,(G3*VLOOKUP(K16,$I$18:$L$22,4,FALSE)))))))</f>
        <v/>
      </c>
      <c r="H42" s="150"/>
      <c r="I42" s="1"/>
      <c r="J42" s="150"/>
      <c r="K42" s="1"/>
      <c r="L42" s="148"/>
      <c r="M42" s="132" t="s">
        <v>190</v>
      </c>
      <c r="N42" s="156" t="str">
        <f>IF(N33="","",IF(Total!K30="NO",IF(OR(AND(Total!J33="c",Total!J34&gt;1),AND(Total!J33="d",Total!J34&gt;5),R32&gt;VLOOKUP(Total!D3,Tablas!F70:Q83,12,FALSE)),0,IF(OR(Total!J33="c",Total!J33="d"),N41/20/8,N41/20/7)),IF(Total!K30="SÍ",IF(OR(AND(Total!E6="c",Total!E7&gt;1),AND(Total!E6="d",Total!E7&gt;5),R32&gt;VLOOKUP(Total!D3,F70:Q83,12,FALSE)),0,IF(OR(Total!E6="c",Total!E6="d"),N41/20/8,N41/20/7)),"")))</f>
        <v/>
      </c>
      <c r="O42" s="131" t="str">
        <f>IF(Total!K30="NO",IF(OR((Total!J33="a"),(Total!J33="b"),AND(Total!J33="c",Total!J34&gt;1),AND(Total!J33="d",Total!J34&gt;5),R32&gt;VLOOKUP(Total!D3,Tablas!F70:Q83,12,FALSE)),"Las horas extras no son compatibles con Nivel A, B, C2 y D6 en adelante, ni con salarios que sobrepasen el tope p/H. Extras.",""),IF(Total!K30="SÍ",IF(OR(Total!E6="A",Total!E6="B",AND(Total!E6="c",Total!E7&gt;1),AND(Total!E6="d",Total!E7&gt;5),R32&gt;VLOOKUP(Total!D3,Tablas!F70:Q83,12,FALSE)),"Las horas extras no son compatibles con Nivel A, B, C2 y D6 en adelante, ni con salarios que sobrepasen el tope p/H. Extras.",""),"Indicar si la situación es igual a la del mes anterior (celda K29)"))</f>
        <v>Indicar si la situación es igual a la del mes anterior (celda K29)</v>
      </c>
      <c r="P42" s="21" t="s">
        <v>191</v>
      </c>
      <c r="Q42" s="2"/>
      <c r="T42" s="155"/>
      <c r="U42" s="155"/>
      <c r="V42" s="155"/>
    </row>
    <row r="43" spans="2:27" ht="12.75" customHeight="1" x14ac:dyDescent="0.2">
      <c r="B43" s="145">
        <v>8</v>
      </c>
      <c r="C43" s="12">
        <v>0</v>
      </c>
      <c r="E43" s="304"/>
      <c r="F43" s="160" t="s">
        <v>188</v>
      </c>
      <c r="G43" s="154">
        <f>SUM(G36:G42)</f>
        <v>0</v>
      </c>
      <c r="H43" s="150"/>
      <c r="J43" s="150"/>
      <c r="K43" s="1"/>
      <c r="L43" s="148"/>
      <c r="M43" s="21" t="s">
        <v>192</v>
      </c>
      <c r="T43" s="155"/>
      <c r="U43" s="155"/>
      <c r="V43" s="155"/>
    </row>
    <row r="44" spans="2:27" ht="12.75" customHeight="1" x14ac:dyDescent="0.2">
      <c r="B44" s="145">
        <v>9</v>
      </c>
      <c r="C44" s="12">
        <v>0</v>
      </c>
      <c r="E44" s="305"/>
      <c r="F44" s="161" t="s">
        <v>187</v>
      </c>
      <c r="G44" s="158">
        <f>+IF(G43&gt;60000,0,IF(G43&gt;56000,60000-G43,IF(G43&gt;0,4000,0)))</f>
        <v>0</v>
      </c>
      <c r="H44" s="150"/>
      <c r="J44" s="150"/>
      <c r="K44" s="150"/>
      <c r="M44" s="21" t="s">
        <v>193</v>
      </c>
      <c r="T44" s="155"/>
      <c r="U44" s="155"/>
      <c r="V44" s="155"/>
    </row>
    <row r="45" spans="2:27" ht="12.75" customHeight="1" x14ac:dyDescent="0.2">
      <c r="B45" s="145">
        <v>10</v>
      </c>
      <c r="C45" s="12">
        <v>0</v>
      </c>
      <c r="H45" s="150"/>
      <c r="J45" s="150"/>
      <c r="K45" s="150"/>
      <c r="T45" s="155"/>
      <c r="U45" s="155"/>
      <c r="V45" s="155"/>
    </row>
    <row r="46" spans="2:27" ht="12.75" customHeight="1" x14ac:dyDescent="0.2">
      <c r="B46" s="79" t="s">
        <v>113</v>
      </c>
      <c r="C46" s="12">
        <v>0</v>
      </c>
      <c r="F46" s="1"/>
      <c r="G46" s="162"/>
      <c r="H46" s="287">
        <v>2016</v>
      </c>
      <c r="I46" s="288"/>
      <c r="J46" s="289"/>
      <c r="K46" s="150"/>
      <c r="L46" s="1"/>
      <c r="M46" s="162"/>
      <c r="N46" s="290" t="s">
        <v>11</v>
      </c>
      <c r="O46" s="288"/>
      <c r="P46" s="288"/>
      <c r="Q46" s="288"/>
      <c r="R46" s="288"/>
      <c r="S46" s="288"/>
      <c r="T46" s="288"/>
      <c r="U46" s="288"/>
      <c r="V46" s="288"/>
      <c r="W46" s="288"/>
      <c r="X46" s="289"/>
    </row>
    <row r="47" spans="2:27" ht="12.75" customHeight="1" x14ac:dyDescent="0.2">
      <c r="B47" s="79" t="s">
        <v>118</v>
      </c>
      <c r="C47" s="12">
        <v>0</v>
      </c>
      <c r="F47" s="1"/>
      <c r="G47" s="163" t="s">
        <v>8</v>
      </c>
      <c r="H47" s="164" t="s">
        <v>194</v>
      </c>
      <c r="I47" s="164" t="s">
        <v>195</v>
      </c>
      <c r="J47" s="165" t="s">
        <v>196</v>
      </c>
      <c r="K47" s="150"/>
      <c r="L47" s="1"/>
      <c r="M47" s="163" t="s">
        <v>8</v>
      </c>
      <c r="N47" s="166">
        <v>0</v>
      </c>
      <c r="O47" s="167">
        <v>1</v>
      </c>
      <c r="P47" s="167">
        <v>2</v>
      </c>
      <c r="Q47" s="167">
        <v>3</v>
      </c>
      <c r="R47" s="167">
        <v>4</v>
      </c>
      <c r="S47" s="167">
        <v>5</v>
      </c>
      <c r="T47" s="167">
        <v>6</v>
      </c>
      <c r="U47" s="167">
        <v>7</v>
      </c>
      <c r="V47" s="167">
        <v>8</v>
      </c>
      <c r="W47" s="167">
        <v>9</v>
      </c>
      <c r="X47" s="168">
        <v>10</v>
      </c>
      <c r="Z47" s="169" t="s">
        <v>8</v>
      </c>
      <c r="AA47" s="170" t="s">
        <v>197</v>
      </c>
    </row>
    <row r="48" spans="2:27" ht="12.75" customHeight="1" x14ac:dyDescent="0.2">
      <c r="B48" s="79" t="s">
        <v>122</v>
      </c>
      <c r="C48" s="12">
        <v>0</v>
      </c>
      <c r="F48" s="171" t="s">
        <v>198</v>
      </c>
      <c r="G48" s="172" t="s">
        <v>113</v>
      </c>
      <c r="H48" s="173">
        <v>452</v>
      </c>
      <c r="I48" s="173">
        <v>949</v>
      </c>
      <c r="J48" s="174">
        <f t="shared" ref="J48:J53" si="20">H48+I48</f>
        <v>1401</v>
      </c>
      <c r="K48" s="150"/>
      <c r="L48" s="175" t="s">
        <v>187</v>
      </c>
      <c r="M48" s="172" t="s">
        <v>113</v>
      </c>
      <c r="N48" s="176">
        <v>0</v>
      </c>
      <c r="O48" s="173">
        <v>85</v>
      </c>
      <c r="P48" s="173">
        <v>167</v>
      </c>
      <c r="Q48" s="173">
        <v>239</v>
      </c>
      <c r="R48" s="173">
        <v>314</v>
      </c>
      <c r="S48" s="173">
        <v>394</v>
      </c>
      <c r="T48" s="173">
        <v>478</v>
      </c>
      <c r="U48" s="173">
        <v>567</v>
      </c>
      <c r="V48" s="173">
        <v>661</v>
      </c>
      <c r="W48" s="173">
        <v>761</v>
      </c>
      <c r="X48" s="174">
        <v>867</v>
      </c>
      <c r="Z48" s="177" t="s">
        <v>113</v>
      </c>
      <c r="AA48" s="170">
        <f t="shared" ref="AA48:AA53" si="21">+X48-W48</f>
        <v>106</v>
      </c>
    </row>
    <row r="49" spans="2:27" ht="12.75" customHeight="1" x14ac:dyDescent="0.2">
      <c r="B49" s="79" t="s">
        <v>127</v>
      </c>
      <c r="C49" s="12">
        <v>0</v>
      </c>
      <c r="F49" s="178" t="s">
        <v>198</v>
      </c>
      <c r="G49" s="172" t="s">
        <v>118</v>
      </c>
      <c r="H49" s="173">
        <v>316</v>
      </c>
      <c r="I49" s="173">
        <v>662</v>
      </c>
      <c r="J49" s="174">
        <f t="shared" si="20"/>
        <v>978</v>
      </c>
      <c r="K49" s="150"/>
      <c r="L49" s="175" t="s">
        <v>187</v>
      </c>
      <c r="M49" s="172" t="s">
        <v>118</v>
      </c>
      <c r="N49" s="176">
        <v>0</v>
      </c>
      <c r="O49" s="173">
        <v>58</v>
      </c>
      <c r="P49" s="173">
        <v>120</v>
      </c>
      <c r="Q49" s="173">
        <v>185</v>
      </c>
      <c r="R49" s="173">
        <v>239</v>
      </c>
      <c r="S49" s="173">
        <v>295</v>
      </c>
      <c r="T49" s="173">
        <v>355</v>
      </c>
      <c r="U49" s="173">
        <v>418</v>
      </c>
      <c r="V49" s="173">
        <v>484</v>
      </c>
      <c r="W49" s="173">
        <v>554</v>
      </c>
      <c r="X49" s="174">
        <v>628</v>
      </c>
      <c r="Z49" s="177" t="s">
        <v>118</v>
      </c>
      <c r="AA49" s="170">
        <f t="shared" si="21"/>
        <v>74</v>
      </c>
    </row>
    <row r="50" spans="2:27" ht="12.75" customHeight="1" x14ac:dyDescent="0.2">
      <c r="B50" s="79" t="s">
        <v>130</v>
      </c>
      <c r="C50" s="12">
        <v>0</v>
      </c>
      <c r="F50" s="178" t="s">
        <v>198</v>
      </c>
      <c r="G50" s="172" t="s">
        <v>122</v>
      </c>
      <c r="H50" s="173">
        <v>216</v>
      </c>
      <c r="I50" s="173">
        <v>454</v>
      </c>
      <c r="J50" s="174">
        <f t="shared" si="20"/>
        <v>670</v>
      </c>
      <c r="K50" s="150"/>
      <c r="L50" s="175" t="s">
        <v>187</v>
      </c>
      <c r="M50" s="172" t="s">
        <v>122</v>
      </c>
      <c r="N50" s="176">
        <v>0</v>
      </c>
      <c r="O50" s="173">
        <v>27</v>
      </c>
      <c r="P50" s="173">
        <v>61</v>
      </c>
      <c r="Q50" s="173">
        <v>109</v>
      </c>
      <c r="R50" s="173">
        <v>134</v>
      </c>
      <c r="S50" s="173">
        <v>170</v>
      </c>
      <c r="T50" s="173">
        <v>209</v>
      </c>
      <c r="U50" s="173">
        <v>250</v>
      </c>
      <c r="V50" s="173">
        <v>293</v>
      </c>
      <c r="W50" s="173">
        <v>338</v>
      </c>
      <c r="X50" s="174">
        <v>386</v>
      </c>
      <c r="Z50" s="177" t="s">
        <v>122</v>
      </c>
      <c r="AA50" s="170">
        <f t="shared" si="21"/>
        <v>48</v>
      </c>
    </row>
    <row r="51" spans="2:27" ht="12.75" customHeight="1" x14ac:dyDescent="0.2">
      <c r="B51" s="79" t="s">
        <v>132</v>
      </c>
      <c r="C51" s="12">
        <v>0</v>
      </c>
      <c r="F51" s="178" t="s">
        <v>198</v>
      </c>
      <c r="G51" s="172" t="s">
        <v>127</v>
      </c>
      <c r="H51" s="173">
        <v>188</v>
      </c>
      <c r="I51" s="173">
        <v>394</v>
      </c>
      <c r="J51" s="174">
        <f t="shared" si="20"/>
        <v>582</v>
      </c>
      <c r="K51" s="150"/>
      <c r="L51" s="175" t="s">
        <v>187</v>
      </c>
      <c r="M51" s="172" t="s">
        <v>127</v>
      </c>
      <c r="N51" s="176">
        <v>0</v>
      </c>
      <c r="O51" s="173">
        <v>18</v>
      </c>
      <c r="P51" s="173">
        <v>40</v>
      </c>
      <c r="Q51" s="173">
        <v>63</v>
      </c>
      <c r="R51" s="173">
        <v>87</v>
      </c>
      <c r="S51" s="173">
        <v>115</v>
      </c>
      <c r="T51" s="173">
        <v>144</v>
      </c>
      <c r="U51" s="173">
        <v>175</v>
      </c>
      <c r="V51" s="173">
        <v>207</v>
      </c>
      <c r="W51" s="173">
        <v>241</v>
      </c>
      <c r="X51" s="174">
        <v>277</v>
      </c>
      <c r="Z51" s="177" t="s">
        <v>127</v>
      </c>
      <c r="AA51" s="170">
        <f t="shared" si="21"/>
        <v>36</v>
      </c>
    </row>
    <row r="52" spans="2:27" ht="12.75" customHeight="1" x14ac:dyDescent="0.2">
      <c r="B52" s="79" t="s">
        <v>199</v>
      </c>
      <c r="C52" s="12" t="s">
        <v>199</v>
      </c>
      <c r="F52" s="178" t="s">
        <v>198</v>
      </c>
      <c r="G52" s="172" t="s">
        <v>130</v>
      </c>
      <c r="H52" s="173">
        <v>152</v>
      </c>
      <c r="I52" s="173">
        <v>318</v>
      </c>
      <c r="J52" s="174">
        <f t="shared" si="20"/>
        <v>470</v>
      </c>
      <c r="K52" s="150"/>
      <c r="L52" s="175" t="s">
        <v>187</v>
      </c>
      <c r="M52" s="172" t="s">
        <v>130</v>
      </c>
      <c r="N52" s="176">
        <v>0</v>
      </c>
      <c r="O52" s="173">
        <v>11</v>
      </c>
      <c r="P52" s="173">
        <v>25</v>
      </c>
      <c r="Q52" s="173">
        <v>43</v>
      </c>
      <c r="R52" s="173">
        <v>62</v>
      </c>
      <c r="S52" s="173">
        <v>82</v>
      </c>
      <c r="T52" s="173">
        <v>103</v>
      </c>
      <c r="U52" s="173">
        <v>127</v>
      </c>
      <c r="V52" s="173">
        <v>152</v>
      </c>
      <c r="W52" s="173">
        <v>179</v>
      </c>
      <c r="X52" s="174">
        <v>207</v>
      </c>
      <c r="Z52" s="177" t="s">
        <v>130</v>
      </c>
      <c r="AA52" s="170">
        <f t="shared" si="21"/>
        <v>28</v>
      </c>
    </row>
    <row r="53" spans="2:27" ht="12.75" customHeight="1" thickTop="1" thickBot="1" x14ac:dyDescent="0.25">
      <c r="B53" s="79" t="s">
        <v>200</v>
      </c>
      <c r="C53" s="12" t="s">
        <v>200</v>
      </c>
      <c r="F53" s="179" t="s">
        <v>198</v>
      </c>
      <c r="G53" s="180" t="s">
        <v>132</v>
      </c>
      <c r="H53" s="181">
        <v>146</v>
      </c>
      <c r="I53" s="181">
        <v>306</v>
      </c>
      <c r="J53" s="182">
        <f t="shared" si="20"/>
        <v>452</v>
      </c>
      <c r="K53" s="150"/>
      <c r="L53" s="175" t="s">
        <v>187</v>
      </c>
      <c r="M53" s="180" t="s">
        <v>132</v>
      </c>
      <c r="N53" s="183">
        <v>0</v>
      </c>
      <c r="O53" s="181">
        <v>9</v>
      </c>
      <c r="P53" s="181">
        <v>18</v>
      </c>
      <c r="Q53" s="181">
        <v>27</v>
      </c>
      <c r="R53" s="181">
        <v>41</v>
      </c>
      <c r="S53" s="181">
        <v>55</v>
      </c>
      <c r="T53" s="181">
        <v>70</v>
      </c>
      <c r="U53" s="181">
        <v>85</v>
      </c>
      <c r="V53" s="181">
        <v>106</v>
      </c>
      <c r="W53" s="181">
        <v>127</v>
      </c>
      <c r="X53" s="182">
        <v>149</v>
      </c>
      <c r="Z53" s="177" t="s">
        <v>132</v>
      </c>
      <c r="AA53" s="170">
        <f t="shared" si="21"/>
        <v>22</v>
      </c>
    </row>
    <row r="54" spans="2:27" ht="12.75" customHeight="1" thickTop="1" thickBot="1" x14ac:dyDescent="0.25">
      <c r="B54" s="79" t="s">
        <v>201</v>
      </c>
      <c r="C54" s="12" t="s">
        <v>201</v>
      </c>
      <c r="F54" s="171" t="s">
        <v>226</v>
      </c>
      <c r="G54" s="172" t="s">
        <v>113</v>
      </c>
      <c r="H54" s="173">
        <v>516</v>
      </c>
      <c r="I54" s="173">
        <v>1082</v>
      </c>
      <c r="J54" s="174">
        <f t="shared" ref="J54:J59" si="22">H54+I54</f>
        <v>1598</v>
      </c>
      <c r="K54" s="150"/>
      <c r="L54" s="184"/>
      <c r="M54" s="163" t="s">
        <v>8</v>
      </c>
      <c r="N54" s="166">
        <v>0</v>
      </c>
      <c r="O54" s="167">
        <v>1</v>
      </c>
      <c r="P54" s="167">
        <v>2</v>
      </c>
      <c r="Q54" s="167">
        <v>3</v>
      </c>
      <c r="R54" s="167">
        <v>4</v>
      </c>
      <c r="S54" s="167">
        <v>5</v>
      </c>
      <c r="T54" s="167">
        <v>6</v>
      </c>
      <c r="U54" s="167">
        <v>7</v>
      </c>
      <c r="V54" s="167">
        <v>8</v>
      </c>
      <c r="W54" s="167">
        <v>9</v>
      </c>
      <c r="X54" s="168">
        <v>10</v>
      </c>
      <c r="Z54" s="169" t="s">
        <v>8</v>
      </c>
      <c r="AA54" s="170" t="s">
        <v>197</v>
      </c>
    </row>
    <row r="55" spans="2:27" ht="12.75" customHeight="1" thickTop="1" thickBot="1" x14ac:dyDescent="0.25">
      <c r="B55" s="79" t="s">
        <v>202</v>
      </c>
      <c r="C55" s="12" t="s">
        <v>202</v>
      </c>
      <c r="F55" s="171" t="s">
        <v>226</v>
      </c>
      <c r="G55" s="172" t="s">
        <v>118</v>
      </c>
      <c r="H55" s="173">
        <v>361</v>
      </c>
      <c r="I55" s="173">
        <v>755</v>
      </c>
      <c r="J55" s="174">
        <f t="shared" si="22"/>
        <v>1116</v>
      </c>
      <c r="K55" s="150"/>
      <c r="L55" s="188">
        <v>45139</v>
      </c>
      <c r="M55" s="186" t="s">
        <v>113</v>
      </c>
      <c r="N55" s="176">
        <v>0</v>
      </c>
      <c r="O55" s="173">
        <v>106</v>
      </c>
      <c r="P55" s="173">
        <v>208</v>
      </c>
      <c r="Q55" s="173">
        <v>298</v>
      </c>
      <c r="R55" s="173">
        <v>391</v>
      </c>
      <c r="S55" s="173">
        <v>491</v>
      </c>
      <c r="T55" s="173">
        <v>596</v>
      </c>
      <c r="U55" s="173">
        <v>707</v>
      </c>
      <c r="V55" s="173">
        <v>824</v>
      </c>
      <c r="W55" s="173">
        <v>948</v>
      </c>
      <c r="X55" s="174">
        <v>1081</v>
      </c>
      <c r="Y55" s="67">
        <v>45139</v>
      </c>
      <c r="Z55" s="177" t="s">
        <v>113</v>
      </c>
      <c r="AA55" s="170">
        <f t="shared" ref="AA55:AA60" si="23">+X55-W55</f>
        <v>133</v>
      </c>
    </row>
    <row r="56" spans="2:27" ht="12.75" customHeight="1" thickTop="1" thickBot="1" x14ac:dyDescent="0.25">
      <c r="B56" s="79" t="s">
        <v>204</v>
      </c>
      <c r="C56" s="12" t="s">
        <v>204</v>
      </c>
      <c r="F56" s="171" t="s">
        <v>226</v>
      </c>
      <c r="G56" s="172" t="s">
        <v>122</v>
      </c>
      <c r="H56" s="173">
        <v>247</v>
      </c>
      <c r="I56" s="173">
        <v>518</v>
      </c>
      <c r="J56" s="174">
        <f t="shared" si="22"/>
        <v>765</v>
      </c>
      <c r="K56" s="150"/>
      <c r="L56" s="190">
        <f t="shared" ref="L56:L60" si="24">+L55</f>
        <v>45139</v>
      </c>
      <c r="M56" s="172" t="s">
        <v>118</v>
      </c>
      <c r="N56" s="176">
        <v>0</v>
      </c>
      <c r="O56" s="173">
        <v>72</v>
      </c>
      <c r="P56" s="173">
        <v>150</v>
      </c>
      <c r="Q56" s="173">
        <v>231</v>
      </c>
      <c r="R56" s="173">
        <v>298</v>
      </c>
      <c r="S56" s="173">
        <v>368</v>
      </c>
      <c r="T56" s="173">
        <v>442</v>
      </c>
      <c r="U56" s="173">
        <v>521</v>
      </c>
      <c r="V56" s="173">
        <v>603</v>
      </c>
      <c r="W56" s="173">
        <v>690</v>
      </c>
      <c r="X56" s="174">
        <v>783</v>
      </c>
      <c r="Y56" s="67">
        <v>45139</v>
      </c>
      <c r="Z56" s="177" t="s">
        <v>118</v>
      </c>
      <c r="AA56" s="170">
        <f t="shared" si="23"/>
        <v>93</v>
      </c>
    </row>
    <row r="57" spans="2:27" ht="12.75" customHeight="1" thickTop="1" thickBot="1" x14ac:dyDescent="0.25">
      <c r="B57" s="118" t="s">
        <v>205</v>
      </c>
      <c r="C57" s="45" t="s">
        <v>205</v>
      </c>
      <c r="F57" s="171" t="s">
        <v>226</v>
      </c>
      <c r="G57" s="172" t="s">
        <v>127</v>
      </c>
      <c r="H57" s="173">
        <v>215</v>
      </c>
      <c r="I57" s="173">
        <v>450</v>
      </c>
      <c r="J57" s="174">
        <f t="shared" si="22"/>
        <v>665</v>
      </c>
      <c r="K57" s="150"/>
      <c r="L57" s="190">
        <f t="shared" si="24"/>
        <v>45139</v>
      </c>
      <c r="M57" s="172" t="s">
        <v>122</v>
      </c>
      <c r="N57" s="176">
        <v>0</v>
      </c>
      <c r="O57" s="173">
        <v>34</v>
      </c>
      <c r="P57" s="173">
        <v>76</v>
      </c>
      <c r="Q57" s="173">
        <v>136</v>
      </c>
      <c r="R57" s="173">
        <v>167</v>
      </c>
      <c r="S57" s="173">
        <v>212</v>
      </c>
      <c r="T57" s="173">
        <v>260</v>
      </c>
      <c r="U57" s="173">
        <v>312</v>
      </c>
      <c r="V57" s="173">
        <v>365</v>
      </c>
      <c r="W57" s="173">
        <v>421</v>
      </c>
      <c r="X57" s="174">
        <v>481</v>
      </c>
      <c r="Y57" s="67">
        <v>45139</v>
      </c>
      <c r="Z57" s="177" t="s">
        <v>122</v>
      </c>
      <c r="AA57" s="170">
        <f t="shared" si="23"/>
        <v>60</v>
      </c>
    </row>
    <row r="58" spans="2:27" ht="12.75" customHeight="1" thickTop="1" thickBot="1" x14ac:dyDescent="0.25">
      <c r="F58" s="171" t="s">
        <v>226</v>
      </c>
      <c r="G58" s="172" t="s">
        <v>130</v>
      </c>
      <c r="H58" s="173">
        <v>174</v>
      </c>
      <c r="I58" s="173">
        <v>363</v>
      </c>
      <c r="J58" s="174">
        <f t="shared" si="22"/>
        <v>537</v>
      </c>
      <c r="K58" s="150"/>
      <c r="L58" s="190">
        <f t="shared" si="24"/>
        <v>45139</v>
      </c>
      <c r="M58" s="172" t="s">
        <v>127</v>
      </c>
      <c r="N58" s="176">
        <v>0</v>
      </c>
      <c r="O58" s="173">
        <v>22</v>
      </c>
      <c r="P58" s="173">
        <v>50</v>
      </c>
      <c r="Q58" s="173">
        <v>79</v>
      </c>
      <c r="R58" s="173">
        <v>108</v>
      </c>
      <c r="S58" s="173">
        <v>143</v>
      </c>
      <c r="T58" s="173">
        <v>179</v>
      </c>
      <c r="U58" s="173">
        <v>218</v>
      </c>
      <c r="V58" s="173">
        <v>258</v>
      </c>
      <c r="W58" s="173">
        <v>300</v>
      </c>
      <c r="X58" s="174">
        <v>345</v>
      </c>
      <c r="Y58" s="67">
        <v>45139</v>
      </c>
      <c r="Z58" s="177" t="s">
        <v>127</v>
      </c>
      <c r="AA58" s="170">
        <f t="shared" si="23"/>
        <v>45</v>
      </c>
    </row>
    <row r="59" spans="2:27" ht="12.75" customHeight="1" thickTop="1" thickBot="1" x14ac:dyDescent="0.25">
      <c r="F59" s="171" t="s">
        <v>226</v>
      </c>
      <c r="G59" s="180" t="s">
        <v>132</v>
      </c>
      <c r="H59" s="181">
        <v>167</v>
      </c>
      <c r="I59" s="181">
        <v>349</v>
      </c>
      <c r="J59" s="182">
        <f t="shared" si="22"/>
        <v>516</v>
      </c>
      <c r="K59" s="150"/>
      <c r="L59" s="190">
        <f t="shared" si="24"/>
        <v>45139</v>
      </c>
      <c r="M59" s="172" t="s">
        <v>130</v>
      </c>
      <c r="N59" s="176">
        <v>0</v>
      </c>
      <c r="O59" s="173">
        <v>14</v>
      </c>
      <c r="P59" s="173">
        <v>31</v>
      </c>
      <c r="Q59" s="173">
        <v>54</v>
      </c>
      <c r="R59" s="173">
        <v>77</v>
      </c>
      <c r="S59" s="173">
        <v>102</v>
      </c>
      <c r="T59" s="173">
        <v>128</v>
      </c>
      <c r="U59" s="173">
        <v>158</v>
      </c>
      <c r="V59" s="173">
        <v>189</v>
      </c>
      <c r="W59" s="173">
        <v>223</v>
      </c>
      <c r="X59" s="174">
        <v>258</v>
      </c>
      <c r="Y59" s="67">
        <v>45139</v>
      </c>
      <c r="Z59" s="177" t="s">
        <v>130</v>
      </c>
      <c r="AA59" s="170">
        <f t="shared" si="23"/>
        <v>35</v>
      </c>
    </row>
    <row r="60" spans="2:27" ht="12.75" customHeight="1" thickBot="1" x14ac:dyDescent="0.25">
      <c r="K60" s="150"/>
      <c r="L60" s="192">
        <f t="shared" si="24"/>
        <v>45139</v>
      </c>
      <c r="M60" s="180" t="s">
        <v>132</v>
      </c>
      <c r="N60" s="183">
        <v>0</v>
      </c>
      <c r="O60" s="181">
        <v>11</v>
      </c>
      <c r="P60" s="181">
        <v>22</v>
      </c>
      <c r="Q60" s="181">
        <v>34</v>
      </c>
      <c r="R60" s="181">
        <v>51</v>
      </c>
      <c r="S60" s="181">
        <v>69</v>
      </c>
      <c r="T60" s="181">
        <v>87</v>
      </c>
      <c r="U60" s="181">
        <v>106</v>
      </c>
      <c r="V60" s="181">
        <v>132</v>
      </c>
      <c r="W60" s="181">
        <v>158</v>
      </c>
      <c r="X60" s="182">
        <v>186</v>
      </c>
      <c r="Y60" s="67">
        <v>45139</v>
      </c>
      <c r="Z60" s="177" t="s">
        <v>132</v>
      </c>
      <c r="AA60" s="170">
        <f t="shared" si="23"/>
        <v>28</v>
      </c>
    </row>
    <row r="61" spans="2:27" ht="12.75" customHeight="1" thickTop="1" thickBot="1" x14ac:dyDescent="0.25">
      <c r="F61" s="184"/>
      <c r="G61" s="163" t="s">
        <v>8</v>
      </c>
      <c r="H61" s="164" t="s">
        <v>194</v>
      </c>
      <c r="I61" s="164" t="s">
        <v>195</v>
      </c>
      <c r="J61" s="165" t="s">
        <v>196</v>
      </c>
      <c r="K61" s="150"/>
      <c r="L61" s="193"/>
      <c r="M61" s="163" t="s">
        <v>8</v>
      </c>
      <c r="N61" s="166">
        <v>0</v>
      </c>
      <c r="O61" s="167">
        <v>1</v>
      </c>
      <c r="P61" s="167">
        <v>2</v>
      </c>
      <c r="Q61" s="167">
        <v>3</v>
      </c>
      <c r="R61" s="167">
        <v>4</v>
      </c>
      <c r="S61" s="167">
        <v>5</v>
      </c>
      <c r="T61" s="167">
        <v>6</v>
      </c>
      <c r="U61" s="167">
        <v>7</v>
      </c>
      <c r="V61" s="167">
        <v>8</v>
      </c>
      <c r="W61" s="167">
        <v>9</v>
      </c>
      <c r="X61" s="168">
        <v>10</v>
      </c>
      <c r="Y61" s="67"/>
      <c r="Z61" s="169" t="s">
        <v>8</v>
      </c>
      <c r="AA61" s="170" t="s">
        <v>197</v>
      </c>
    </row>
    <row r="62" spans="2:27" ht="12.75" customHeight="1" thickTop="1" thickBot="1" x14ac:dyDescent="0.25">
      <c r="E62" s="291" t="s">
        <v>203</v>
      </c>
      <c r="F62" s="185">
        <v>43831</v>
      </c>
      <c r="G62" s="186" t="s">
        <v>113</v>
      </c>
      <c r="H62" s="187">
        <v>452</v>
      </c>
      <c r="I62" s="187">
        <v>706</v>
      </c>
      <c r="J62" s="187">
        <f t="shared" ref="J62:J67" si="25">+H62+I62</f>
        <v>1158</v>
      </c>
      <c r="K62" s="150"/>
      <c r="L62" s="188">
        <v>45323</v>
      </c>
      <c r="M62" s="186" t="s">
        <v>113</v>
      </c>
      <c r="N62" s="176">
        <v>0</v>
      </c>
      <c r="O62" s="173">
        <v>121</v>
      </c>
      <c r="P62" s="173">
        <v>238</v>
      </c>
      <c r="Q62" s="173">
        <v>340</v>
      </c>
      <c r="R62" s="173">
        <v>446</v>
      </c>
      <c r="S62" s="173">
        <v>560</v>
      </c>
      <c r="T62" s="173">
        <v>680</v>
      </c>
      <c r="U62" s="173">
        <v>806</v>
      </c>
      <c r="V62" s="173">
        <v>940</v>
      </c>
      <c r="W62" s="173">
        <v>1081</v>
      </c>
      <c r="X62" s="174">
        <v>1233</v>
      </c>
      <c r="Y62" s="67">
        <v>45323</v>
      </c>
      <c r="Z62" s="177" t="s">
        <v>113</v>
      </c>
      <c r="AA62" s="170">
        <f t="shared" ref="AA62:AA67" si="26">+X62-W62</f>
        <v>152</v>
      </c>
    </row>
    <row r="63" spans="2:27" ht="12.75" customHeight="1" thickBot="1" x14ac:dyDescent="0.25">
      <c r="E63" s="292"/>
      <c r="F63" s="189">
        <v>43831</v>
      </c>
      <c r="G63" s="172" t="s">
        <v>118</v>
      </c>
      <c r="H63" s="173">
        <v>316</v>
      </c>
      <c r="I63" s="173">
        <v>492</v>
      </c>
      <c r="J63" s="173">
        <f t="shared" si="25"/>
        <v>808</v>
      </c>
      <c r="K63" s="150"/>
      <c r="L63" s="190">
        <f t="shared" ref="L63:L67" si="27">+L62</f>
        <v>45323</v>
      </c>
      <c r="M63" s="172" t="s">
        <v>118</v>
      </c>
      <c r="N63" s="176">
        <v>0</v>
      </c>
      <c r="O63" s="173">
        <v>83</v>
      </c>
      <c r="P63" s="173">
        <v>171</v>
      </c>
      <c r="Q63" s="173">
        <v>264</v>
      </c>
      <c r="R63" s="173">
        <v>340</v>
      </c>
      <c r="S63" s="173">
        <v>420</v>
      </c>
      <c r="T63" s="173">
        <v>504</v>
      </c>
      <c r="U63" s="173">
        <v>594</v>
      </c>
      <c r="V63" s="173">
        <v>688</v>
      </c>
      <c r="W63" s="173">
        <v>787</v>
      </c>
      <c r="X63" s="174">
        <v>893</v>
      </c>
      <c r="Y63" s="67">
        <v>45323</v>
      </c>
      <c r="Z63" s="177" t="s">
        <v>118</v>
      </c>
      <c r="AA63" s="170">
        <f t="shared" si="26"/>
        <v>106</v>
      </c>
    </row>
    <row r="64" spans="2:27" ht="12.75" customHeight="1" thickBot="1" x14ac:dyDescent="0.25">
      <c r="E64" s="292"/>
      <c r="F64" s="189">
        <v>43831</v>
      </c>
      <c r="G64" s="172" t="s">
        <v>122</v>
      </c>
      <c r="H64" s="173">
        <v>216</v>
      </c>
      <c r="I64" s="173">
        <v>338</v>
      </c>
      <c r="J64" s="173">
        <f t="shared" si="25"/>
        <v>554</v>
      </c>
      <c r="K64" s="150"/>
      <c r="L64" s="190">
        <f t="shared" si="27"/>
        <v>45323</v>
      </c>
      <c r="M64" s="172" t="s">
        <v>122</v>
      </c>
      <c r="N64" s="176">
        <v>0</v>
      </c>
      <c r="O64" s="173">
        <v>39</v>
      </c>
      <c r="P64" s="173">
        <v>87</v>
      </c>
      <c r="Q64" s="173">
        <v>156</v>
      </c>
      <c r="R64" s="173">
        <v>191</v>
      </c>
      <c r="S64" s="173">
        <v>242</v>
      </c>
      <c r="T64" s="173">
        <v>297</v>
      </c>
      <c r="U64" s="173">
        <v>356</v>
      </c>
      <c r="V64" s="173">
        <v>417</v>
      </c>
      <c r="W64" s="173">
        <v>480</v>
      </c>
      <c r="X64" s="174">
        <v>549</v>
      </c>
      <c r="Y64" s="67">
        <v>45323</v>
      </c>
      <c r="Z64" s="177" t="s">
        <v>122</v>
      </c>
      <c r="AA64" s="170">
        <f t="shared" si="26"/>
        <v>69</v>
      </c>
    </row>
    <row r="65" spans="2:38" ht="12.75" customHeight="1" thickBot="1" x14ac:dyDescent="0.25">
      <c r="E65" s="292"/>
      <c r="F65" s="189">
        <v>43831</v>
      </c>
      <c r="G65" s="172" t="s">
        <v>127</v>
      </c>
      <c r="H65" s="173">
        <v>188</v>
      </c>
      <c r="I65" s="173">
        <v>293</v>
      </c>
      <c r="J65" s="173">
        <f t="shared" si="25"/>
        <v>481</v>
      </c>
      <c r="K65" s="150"/>
      <c r="L65" s="190">
        <f t="shared" si="27"/>
        <v>45323</v>
      </c>
      <c r="M65" s="172" t="s">
        <v>127</v>
      </c>
      <c r="N65" s="176">
        <v>0</v>
      </c>
      <c r="O65" s="173">
        <v>26</v>
      </c>
      <c r="P65" s="173">
        <v>57</v>
      </c>
      <c r="Q65" s="173">
        <v>91</v>
      </c>
      <c r="R65" s="173">
        <v>124</v>
      </c>
      <c r="S65" s="173">
        <v>164</v>
      </c>
      <c r="T65" s="173">
        <v>205</v>
      </c>
      <c r="U65" s="173">
        <v>249</v>
      </c>
      <c r="V65" s="173">
        <v>295</v>
      </c>
      <c r="W65" s="173">
        <v>342</v>
      </c>
      <c r="X65" s="174">
        <v>394</v>
      </c>
      <c r="Y65" s="67">
        <v>45323</v>
      </c>
      <c r="Z65" s="177" t="s">
        <v>127</v>
      </c>
      <c r="AA65" s="170">
        <f t="shared" si="26"/>
        <v>52</v>
      </c>
    </row>
    <row r="66" spans="2:38" ht="12.75" customHeight="1" thickBot="1" x14ac:dyDescent="0.25">
      <c r="E66" s="292"/>
      <c r="F66" s="189">
        <v>43831</v>
      </c>
      <c r="G66" s="172" t="s">
        <v>130</v>
      </c>
      <c r="H66" s="173">
        <v>152</v>
      </c>
      <c r="I66" s="173">
        <v>236</v>
      </c>
      <c r="J66" s="173">
        <f t="shared" si="25"/>
        <v>388</v>
      </c>
      <c r="K66" s="150"/>
      <c r="L66" s="190">
        <f t="shared" si="27"/>
        <v>45323</v>
      </c>
      <c r="M66" s="172" t="s">
        <v>130</v>
      </c>
      <c r="N66" s="176">
        <v>0</v>
      </c>
      <c r="O66" s="173">
        <v>16</v>
      </c>
      <c r="P66" s="173">
        <v>36</v>
      </c>
      <c r="Q66" s="173">
        <v>62</v>
      </c>
      <c r="R66" s="173">
        <v>88</v>
      </c>
      <c r="S66" s="173">
        <v>117</v>
      </c>
      <c r="T66" s="173">
        <v>146</v>
      </c>
      <c r="U66" s="173">
        <v>181</v>
      </c>
      <c r="V66" s="173">
        <v>216</v>
      </c>
      <c r="W66" s="173">
        <v>255</v>
      </c>
      <c r="X66" s="174">
        <v>295</v>
      </c>
      <c r="Y66" s="67">
        <v>45323</v>
      </c>
      <c r="Z66" s="177" t="s">
        <v>130</v>
      </c>
      <c r="AA66" s="170">
        <f t="shared" si="26"/>
        <v>40</v>
      </c>
    </row>
    <row r="67" spans="2:38" ht="12.75" customHeight="1" thickBot="1" x14ac:dyDescent="0.25">
      <c r="E67" s="293"/>
      <c r="F67" s="191">
        <v>43831</v>
      </c>
      <c r="G67" s="180" t="s">
        <v>132</v>
      </c>
      <c r="H67" s="181">
        <v>146</v>
      </c>
      <c r="I67" s="181">
        <v>228</v>
      </c>
      <c r="J67" s="181">
        <f t="shared" si="25"/>
        <v>374</v>
      </c>
      <c r="K67" s="150"/>
      <c r="L67" s="192">
        <f t="shared" si="27"/>
        <v>45323</v>
      </c>
      <c r="M67" s="180" t="s">
        <v>132</v>
      </c>
      <c r="N67" s="183">
        <v>0</v>
      </c>
      <c r="O67" s="181">
        <v>13</v>
      </c>
      <c r="P67" s="181">
        <v>26</v>
      </c>
      <c r="Q67" s="181">
        <v>39</v>
      </c>
      <c r="R67" s="181">
        <v>59</v>
      </c>
      <c r="S67" s="181">
        <v>79</v>
      </c>
      <c r="T67" s="181">
        <v>100</v>
      </c>
      <c r="U67" s="181">
        <v>121</v>
      </c>
      <c r="V67" s="181">
        <v>151</v>
      </c>
      <c r="W67" s="181">
        <v>181</v>
      </c>
      <c r="X67" s="182">
        <v>213</v>
      </c>
      <c r="Y67" s="67">
        <v>45323</v>
      </c>
      <c r="Z67" s="177" t="s">
        <v>132</v>
      </c>
      <c r="AA67" s="170">
        <f t="shared" si="26"/>
        <v>32</v>
      </c>
    </row>
    <row r="68" spans="2:38" ht="12.75" customHeight="1" thickTop="1" thickBot="1" x14ac:dyDescent="0.25"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</row>
    <row r="69" spans="2:38" ht="12.75" customHeight="1" x14ac:dyDescent="0.2">
      <c r="F69" s="194"/>
      <c r="I69" s="294" t="s">
        <v>206</v>
      </c>
      <c r="J69" s="295"/>
      <c r="K69" s="295"/>
      <c r="L69" s="295"/>
      <c r="M69" s="295"/>
      <c r="N69" s="296"/>
      <c r="Q69" s="228"/>
      <c r="R69" s="241"/>
      <c r="S69" s="242"/>
      <c r="T69" s="64"/>
      <c r="V69" s="99" t="s">
        <v>93</v>
      </c>
      <c r="W69" s="100" t="str">
        <f>+IF(OR(B5=0,B32=0),"",VLOOKUP(Total!D3,F70:T83,13,FALSE))</f>
        <v/>
      </c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</row>
    <row r="70" spans="2:38" ht="12.75" customHeight="1" thickBot="1" x14ac:dyDescent="0.25">
      <c r="F70" s="67" t="s">
        <v>1</v>
      </c>
      <c r="G70" s="67" t="s">
        <v>207</v>
      </c>
      <c r="H70" s="67" t="s">
        <v>208</v>
      </c>
      <c r="I70" s="67" t="s">
        <v>209</v>
      </c>
      <c r="J70" s="67" t="s">
        <v>210</v>
      </c>
      <c r="K70" s="67" t="s">
        <v>211</v>
      </c>
      <c r="L70" s="67" t="s">
        <v>212</v>
      </c>
      <c r="M70" s="67" t="s">
        <v>213</v>
      </c>
      <c r="N70" s="67" t="s">
        <v>214</v>
      </c>
      <c r="O70" s="195" t="s">
        <v>215</v>
      </c>
      <c r="P70" s="195" t="s">
        <v>216</v>
      </c>
      <c r="Q70" s="67" t="s">
        <v>217</v>
      </c>
      <c r="R70" s="67" t="s">
        <v>218</v>
      </c>
      <c r="S70" s="67" t="s">
        <v>219</v>
      </c>
      <c r="T70" s="195" t="s">
        <v>220</v>
      </c>
      <c r="U70" s="67" t="s">
        <v>221</v>
      </c>
      <c r="V70" s="103"/>
      <c r="W70" s="104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</row>
    <row r="71" spans="2:38" ht="12.75" customHeight="1" thickBot="1" x14ac:dyDescent="0.25">
      <c r="F71" s="67">
        <f>F4</f>
        <v>46143</v>
      </c>
      <c r="G71" s="196">
        <v>177675</v>
      </c>
      <c r="H71" s="196">
        <v>22138</v>
      </c>
      <c r="I71" s="196">
        <v>75131</v>
      </c>
      <c r="J71" s="196">
        <v>52532</v>
      </c>
      <c r="K71" s="196">
        <f t="shared" ref="K71" si="28">+I71</f>
        <v>75131</v>
      </c>
      <c r="L71" s="196">
        <v>62709</v>
      </c>
      <c r="M71" s="196">
        <v>92007</v>
      </c>
      <c r="N71" s="196">
        <f t="shared" ref="N71" si="29">+J71</f>
        <v>52532</v>
      </c>
      <c r="O71" s="196">
        <f>4303619.01</f>
        <v>4303619.01</v>
      </c>
      <c r="P71" s="67">
        <f>F71-30</f>
        <v>46113</v>
      </c>
      <c r="Q71" s="246">
        <v>838810</v>
      </c>
      <c r="R71" s="197">
        <v>997.41</v>
      </c>
      <c r="S71" s="246">
        <v>4068</v>
      </c>
      <c r="T71" s="196">
        <v>4162912.57</v>
      </c>
      <c r="U71" s="196">
        <v>21811</v>
      </c>
      <c r="V71" s="76" t="s">
        <v>134</v>
      </c>
      <c r="W71" s="106" t="str">
        <f>+IF(OR(B5=0,B32=0),"",IF(AND(OR(B5=4,B5=5,B5=7,B5=8),OR(Total!E6="E",Total!E6="F")),"",IF(AND(B5=8,OR(Total!E6="c",Total!E6="d")),"",IF(Total!D3=Tablas!F5,VLOOKUP(Total!E6,Tablas!$G$48:$J$53,4,FALSE)*W69,(VLOOKUP(Total!E6,Tablas!$G$48:$J$53,4,FALSE)*W69)))))</f>
        <v/>
      </c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</row>
    <row r="72" spans="2:38" ht="12.75" customHeight="1" thickBot="1" x14ac:dyDescent="0.25">
      <c r="F72" s="67">
        <f t="shared" ref="F72:F83" si="30">F5</f>
        <v>46174</v>
      </c>
      <c r="G72" s="258">
        <f>ROUND(G71*1.024,0)</f>
        <v>181939</v>
      </c>
      <c r="H72" s="258">
        <f>ROUND(H71*1.024,0)</f>
        <v>22669</v>
      </c>
      <c r="I72" s="258">
        <f>ROUND(I71*1.024,0)</f>
        <v>76934</v>
      </c>
      <c r="J72" s="258">
        <f>ROUND(J71*1.024,0)</f>
        <v>53793</v>
      </c>
      <c r="K72" s="258">
        <f>I72</f>
        <v>76934</v>
      </c>
      <c r="L72" s="258">
        <f>ROUND(L71*1.024,0)</f>
        <v>64214</v>
      </c>
      <c r="M72" s="258">
        <f>ROUND(M71*1.024,0)</f>
        <v>94215</v>
      </c>
      <c r="N72" s="258">
        <f>J72</f>
        <v>53793</v>
      </c>
      <c r="O72" s="196">
        <v>4414652.38</v>
      </c>
      <c r="P72" s="67">
        <f>F71</f>
        <v>46143</v>
      </c>
      <c r="Q72" s="246">
        <v>851392</v>
      </c>
      <c r="R72" s="197">
        <f>G4</f>
        <v>1012.37</v>
      </c>
      <c r="S72" s="246">
        <v>4129</v>
      </c>
      <c r="T72" s="196">
        <f t="shared" ref="T72:T84" si="31">+O71</f>
        <v>4303619.01</v>
      </c>
      <c r="U72" s="196">
        <f>H71</f>
        <v>22138</v>
      </c>
      <c r="V72" s="79" t="s">
        <v>138</v>
      </c>
      <c r="W72" s="109" t="str">
        <f t="array" ref="W72">IF(OR(Total!D3=F6,Total!D3=F7,Total!D3=F8),IF(OR(B5=0,B32=0),"",IF(AND(OR(B5=4,B5=5,B5=7,B5=8),OR(Total!E6="E",Total!E6="F")),"",IF(AND(B5=8,OR(Total!E6="c",Total!E6="d")),"",IF(Total!E7&lt;11,INDEX(Tablas!M54:X60,MATCH(Total!E6,Tablas!M54:M60,0),(MATCH(Total!E7,Tablas!M54:X54,0)))*W69,INDEX(Tablas!M54:X60,MATCH(Total!E6,Tablas!M54:M60,0),(MATCH(10,Tablas!M54:X54,0)))*W69)))),IF(OR(B5=0,B32=0),"",IF(AND(OR(B5=4,B5=5,B5=7,B5=8),OR(Total!E6="E",Total!E6="F")),"",IF(AND(B5=8,OR(Total!E6="c",Total!E6="d")),"",IF(Total!E7&lt;11,INDEX(Tablas!M61:X67,MATCH(Total!E6,Tablas!M61:M67,0),(MATCH(Total!E7,Tablas!M61:X61,0)))*W69,INDEX(Tablas!M61:X67,MATCH(Total!E6,Tablas!M61:M67,0),(MATCH(10,Tablas!M61:X61,0)))*W69)))))</f>
        <v/>
      </c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</row>
    <row r="73" spans="2:38" ht="12.75" customHeight="1" thickBot="1" x14ac:dyDescent="0.25">
      <c r="F73" s="67">
        <f t="shared" si="30"/>
        <v>46204</v>
      </c>
      <c r="G73" s="258">
        <f>ROUND(G72*1.022,0)</f>
        <v>185942</v>
      </c>
      <c r="H73" s="258">
        <f>ROUND(H72*1.022,0)</f>
        <v>23168</v>
      </c>
      <c r="I73" s="258">
        <f>ROUND(I72*1.022,0)</f>
        <v>78627</v>
      </c>
      <c r="J73" s="258">
        <f>ROUND(J72*1.022,0)</f>
        <v>54976</v>
      </c>
      <c r="K73" s="258">
        <f t="shared" ref="K73:K83" si="32">I73</f>
        <v>78627</v>
      </c>
      <c r="L73" s="258">
        <f>ROUND(L72*1.022,0)</f>
        <v>65627</v>
      </c>
      <c r="M73" s="258">
        <f>ROUND(M72*1.022,0)</f>
        <v>96288</v>
      </c>
      <c r="N73" s="258">
        <f t="shared" ref="N73:N83" si="33">J73</f>
        <v>54976</v>
      </c>
      <c r="O73" s="258">
        <f>ROUND(O72*1.024,0)</f>
        <v>4520604</v>
      </c>
      <c r="P73" s="67">
        <f t="shared" ref="P73:P84" si="34">F72</f>
        <v>46174</v>
      </c>
      <c r="Q73" s="258">
        <f>ROUND(Q72*1.024,0)</f>
        <v>871825</v>
      </c>
      <c r="R73" s="259">
        <f t="shared" ref="R73:R84" si="35">G5</f>
        <v>1036.67</v>
      </c>
      <c r="S73" s="258">
        <f>ROUND(S72*1.024,0)</f>
        <v>4228</v>
      </c>
      <c r="T73" s="196">
        <f t="shared" si="31"/>
        <v>4414652.38</v>
      </c>
      <c r="U73" s="196">
        <f t="shared" ref="U73:U84" si="36">H72</f>
        <v>22669</v>
      </c>
      <c r="V73" s="79" t="s">
        <v>141</v>
      </c>
      <c r="W73" s="109" t="str">
        <f t="array" ref="W73">IF(OR(Total!D3=F6,Total!D3=F7,Total!D3=F8),IF(OR(B5=0,B32=0),"",IF(AND(OR(B5=4,B5=5,B5=7,B5=8),OR(Total!E6="E",Total!E6="F")),"",IF(AND(B5=8,OR(Total!E6="c",Total!E6="d")),"",IF(Total!E7&lt;11,"",(Total!E7-10)*INDEX(Tablas!Z54:AA60,MATCH(Total!E6,Tablas!Z54:Z60,0),(MATCH("adicional",Tablas!Z54:AA54,0)))*W69)))),IF(OR(B5=0,B32=0),"",IF(AND(OR(B5=4,B5=5,B5=7,B5=8),OR(Total!E6="E",Total!E6="F")),"",IF(AND(B5=8,OR(Total!E6="c",Total!E6="d")),"",IF(Total!E7&lt;11,"",(Total!E7-10)*INDEX(Tablas!Z61:AA67,MATCH(Total!E6,Tablas!Z61:Z67,0),(MATCH("adicional",Tablas!Z61:AA61,0)))*W69)))))</f>
        <v/>
      </c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</row>
    <row r="74" spans="2:38" ht="12.75" customHeight="1" thickBot="1" x14ac:dyDescent="0.25">
      <c r="E74" s="198"/>
      <c r="F74" s="67">
        <f t="shared" si="30"/>
        <v>46235</v>
      </c>
      <c r="G74" s="258">
        <f>ROUND(G73*1.019,0)</f>
        <v>189475</v>
      </c>
      <c r="H74" s="258">
        <f>ROUND(H73*1.019,0)</f>
        <v>23608</v>
      </c>
      <c r="I74" s="258">
        <f>ROUND(I73*1.019,0)</f>
        <v>80121</v>
      </c>
      <c r="J74" s="258">
        <f>ROUND(J73*1.019,0)</f>
        <v>56021</v>
      </c>
      <c r="K74" s="258">
        <f t="shared" si="32"/>
        <v>80121</v>
      </c>
      <c r="L74" s="258">
        <f>ROUND(L73*1.019,0)</f>
        <v>66874</v>
      </c>
      <c r="M74" s="258">
        <f>ROUND(M73*1.019,0)</f>
        <v>98117</v>
      </c>
      <c r="N74" s="258">
        <f t="shared" si="33"/>
        <v>56021</v>
      </c>
      <c r="O74" s="258">
        <f>ROUND(O73*1.022,0)</f>
        <v>4620057</v>
      </c>
      <c r="P74" s="67">
        <f t="shared" si="34"/>
        <v>46204</v>
      </c>
      <c r="Q74" s="258">
        <f>ROUND(Q73*1.022,0)</f>
        <v>891005</v>
      </c>
      <c r="R74" s="259">
        <f t="shared" si="35"/>
        <v>1059.47</v>
      </c>
      <c r="S74" s="258">
        <f>ROUND(S73*1.022,0)</f>
        <v>4321</v>
      </c>
      <c r="T74" s="196">
        <f t="shared" si="31"/>
        <v>4520604</v>
      </c>
      <c r="U74" s="196">
        <f t="shared" si="36"/>
        <v>23168</v>
      </c>
      <c r="V74" s="79" t="s">
        <v>144</v>
      </c>
      <c r="W74" s="109" t="str">
        <f>IF(OR(B5=0,B32=0),"",IF(AND(OR(B5=4,B5=5,B5=7,B5=8),OR(Total!E6="E",Total!E6="F")),"",IF(AND(B5=8,OR(Total!E6="c",Total!E6="d")),"",VLOOKUP(Tablas!B5,Tablas!N21:O30,2,FALSE)*Tablas!W71)))</f>
        <v/>
      </c>
    </row>
    <row r="75" spans="2:38" ht="12.75" customHeight="1" thickBot="1" x14ac:dyDescent="0.25">
      <c r="E75" s="64"/>
      <c r="F75" s="67">
        <f t="shared" si="30"/>
        <v>46266</v>
      </c>
      <c r="G75" s="258">
        <f t="shared" ref="G75:M83" si="37">ROUND(G74*1,0)</f>
        <v>189475</v>
      </c>
      <c r="H75" s="258">
        <f t="shared" si="37"/>
        <v>23608</v>
      </c>
      <c r="I75" s="258">
        <f t="shared" si="37"/>
        <v>80121</v>
      </c>
      <c r="J75" s="258">
        <f t="shared" si="37"/>
        <v>56021</v>
      </c>
      <c r="K75" s="258">
        <f t="shared" si="32"/>
        <v>80121</v>
      </c>
      <c r="L75" s="258">
        <f t="shared" si="37"/>
        <v>66874</v>
      </c>
      <c r="M75" s="258">
        <f t="shared" si="37"/>
        <v>98117</v>
      </c>
      <c r="N75" s="258">
        <f t="shared" si="33"/>
        <v>56021</v>
      </c>
      <c r="O75" s="258">
        <f>ROUND(O74*1.019,0)</f>
        <v>4707838</v>
      </c>
      <c r="P75" s="67">
        <f t="shared" si="34"/>
        <v>46235</v>
      </c>
      <c r="Q75" s="258">
        <f>ROUND(Q74*1.019,0)</f>
        <v>907934</v>
      </c>
      <c r="R75" s="259">
        <f t="shared" si="35"/>
        <v>1079.5999999999999</v>
      </c>
      <c r="S75" s="258">
        <f>ROUND(S74*1.019,0)</f>
        <v>4403</v>
      </c>
      <c r="T75" s="196">
        <f t="shared" si="31"/>
        <v>4620057</v>
      </c>
      <c r="U75" s="196">
        <f t="shared" si="36"/>
        <v>23608</v>
      </c>
      <c r="V75" s="79" t="s">
        <v>147</v>
      </c>
      <c r="W75" s="116" t="str">
        <f>IF(W71="","",IF(M12=0,"",M12*W71))</f>
        <v/>
      </c>
    </row>
    <row r="76" spans="2:38" ht="12.75" customHeight="1" thickBot="1" x14ac:dyDescent="0.25">
      <c r="F76" s="67">
        <f t="shared" si="30"/>
        <v>46296</v>
      </c>
      <c r="G76" s="258">
        <f t="shared" si="37"/>
        <v>189475</v>
      </c>
      <c r="H76" s="258">
        <f t="shared" si="37"/>
        <v>23608</v>
      </c>
      <c r="I76" s="258">
        <f t="shared" si="37"/>
        <v>80121</v>
      </c>
      <c r="J76" s="258">
        <f t="shared" si="37"/>
        <v>56021</v>
      </c>
      <c r="K76" s="258">
        <f t="shared" si="32"/>
        <v>80121</v>
      </c>
      <c r="L76" s="258">
        <f t="shared" si="37"/>
        <v>66874</v>
      </c>
      <c r="M76" s="258">
        <f t="shared" si="37"/>
        <v>98117</v>
      </c>
      <c r="N76" s="258">
        <f t="shared" si="33"/>
        <v>56021</v>
      </c>
      <c r="O76" s="258">
        <f t="shared" ref="O76:O84" si="38">ROUND(O75*1,0)</f>
        <v>4707838</v>
      </c>
      <c r="P76" s="67">
        <f t="shared" si="34"/>
        <v>46266</v>
      </c>
      <c r="Q76" s="258">
        <f t="shared" ref="Q76:Q84" si="39">ROUND(Q75*1,0)</f>
        <v>907934</v>
      </c>
      <c r="R76" s="259">
        <f t="shared" si="35"/>
        <v>1079.5999999999999</v>
      </c>
      <c r="S76" s="258">
        <f t="shared" ref="S76:S84" si="40">ROUND(S75*1,0)</f>
        <v>4403</v>
      </c>
      <c r="T76" s="196">
        <f t="shared" si="31"/>
        <v>4707838</v>
      </c>
      <c r="U76" s="196">
        <f t="shared" si="36"/>
        <v>23608</v>
      </c>
      <c r="V76" s="79" t="s">
        <v>93</v>
      </c>
      <c r="W76" s="117" t="str">
        <f>+IF(W71="","",IF(J12=0,"",$J$12*$W$69))</f>
        <v/>
      </c>
    </row>
    <row r="77" spans="2:38" ht="12.75" customHeight="1" thickBot="1" x14ac:dyDescent="0.25">
      <c r="F77" s="67">
        <f t="shared" si="30"/>
        <v>46327</v>
      </c>
      <c r="G77" s="258">
        <f t="shared" si="37"/>
        <v>189475</v>
      </c>
      <c r="H77" s="258">
        <f t="shared" si="37"/>
        <v>23608</v>
      </c>
      <c r="I77" s="258">
        <f t="shared" si="37"/>
        <v>80121</v>
      </c>
      <c r="J77" s="258">
        <f t="shared" si="37"/>
        <v>56021</v>
      </c>
      <c r="K77" s="258">
        <f t="shared" si="32"/>
        <v>80121</v>
      </c>
      <c r="L77" s="258">
        <f t="shared" si="37"/>
        <v>66874</v>
      </c>
      <c r="M77" s="258">
        <f t="shared" si="37"/>
        <v>98117</v>
      </c>
      <c r="N77" s="258">
        <f t="shared" si="33"/>
        <v>56021</v>
      </c>
      <c r="O77" s="258">
        <f t="shared" si="38"/>
        <v>4707838</v>
      </c>
      <c r="P77" s="67">
        <f t="shared" si="34"/>
        <v>46296</v>
      </c>
      <c r="Q77" s="258">
        <f t="shared" si="39"/>
        <v>907934</v>
      </c>
      <c r="R77" s="259">
        <f t="shared" si="35"/>
        <v>1079.5999999999999</v>
      </c>
      <c r="S77" s="258">
        <f t="shared" si="40"/>
        <v>4403</v>
      </c>
      <c r="T77" s="196">
        <f t="shared" si="31"/>
        <v>4707838</v>
      </c>
      <c r="U77" s="196">
        <f t="shared" si="36"/>
        <v>23608</v>
      </c>
      <c r="V77" s="79" t="s">
        <v>149</v>
      </c>
      <c r="W77" s="119" t="str">
        <f>IF($W$71="","",IF(M14=0,"",M14*W71))</f>
        <v/>
      </c>
    </row>
    <row r="78" spans="2:38" ht="12.75" customHeight="1" thickBot="1" x14ac:dyDescent="0.25">
      <c r="F78" s="67">
        <f t="shared" si="30"/>
        <v>46357</v>
      </c>
      <c r="G78" s="258">
        <f t="shared" si="37"/>
        <v>189475</v>
      </c>
      <c r="H78" s="258">
        <f t="shared" si="37"/>
        <v>23608</v>
      </c>
      <c r="I78" s="258">
        <f t="shared" si="37"/>
        <v>80121</v>
      </c>
      <c r="J78" s="258">
        <f t="shared" si="37"/>
        <v>56021</v>
      </c>
      <c r="K78" s="258">
        <f t="shared" si="32"/>
        <v>80121</v>
      </c>
      <c r="L78" s="258">
        <f t="shared" si="37"/>
        <v>66874</v>
      </c>
      <c r="M78" s="258">
        <f t="shared" si="37"/>
        <v>98117</v>
      </c>
      <c r="N78" s="258">
        <f t="shared" si="33"/>
        <v>56021</v>
      </c>
      <c r="O78" s="258">
        <f t="shared" si="38"/>
        <v>4707838</v>
      </c>
      <c r="P78" s="67">
        <f t="shared" si="34"/>
        <v>46327</v>
      </c>
      <c r="Q78" s="258">
        <f t="shared" si="39"/>
        <v>907934</v>
      </c>
      <c r="R78" s="259">
        <f t="shared" si="35"/>
        <v>1079.5999999999999</v>
      </c>
      <c r="S78" s="258">
        <f t="shared" si="40"/>
        <v>4403</v>
      </c>
      <c r="T78" s="196">
        <f t="shared" si="31"/>
        <v>4707838</v>
      </c>
      <c r="U78" s="196">
        <f t="shared" si="36"/>
        <v>23608</v>
      </c>
      <c r="V78" s="79" t="s">
        <v>24</v>
      </c>
      <c r="W78" s="120" t="str">
        <f>IF($G$21="","",IF(Total!E17="","",IF(Total!E17="SÍ",VLOOKUP(Total!D3,Tablas!F70:U83,16,FALSE),"")))</f>
        <v/>
      </c>
    </row>
    <row r="79" spans="2:38" ht="12.75" customHeight="1" thickBot="1" x14ac:dyDescent="0.25">
      <c r="B79" s="65"/>
      <c r="F79" s="67">
        <f t="shared" si="30"/>
        <v>46388</v>
      </c>
      <c r="G79" s="258">
        <f t="shared" si="37"/>
        <v>189475</v>
      </c>
      <c r="H79" s="258">
        <f t="shared" si="37"/>
        <v>23608</v>
      </c>
      <c r="I79" s="258">
        <f t="shared" si="37"/>
        <v>80121</v>
      </c>
      <c r="J79" s="258">
        <f t="shared" si="37"/>
        <v>56021</v>
      </c>
      <c r="K79" s="258">
        <f t="shared" si="32"/>
        <v>80121</v>
      </c>
      <c r="L79" s="258">
        <f t="shared" si="37"/>
        <v>66874</v>
      </c>
      <c r="M79" s="258">
        <f t="shared" si="37"/>
        <v>98117</v>
      </c>
      <c r="N79" s="258">
        <f t="shared" si="33"/>
        <v>56021</v>
      </c>
      <c r="O79" s="258">
        <f t="shared" si="38"/>
        <v>4707838</v>
      </c>
      <c r="P79" s="67">
        <f t="shared" si="34"/>
        <v>46357</v>
      </c>
      <c r="Q79" s="258">
        <f t="shared" si="39"/>
        <v>907934</v>
      </c>
      <c r="R79" s="259">
        <f t="shared" si="35"/>
        <v>1079.5999999999999</v>
      </c>
      <c r="S79" s="258">
        <f t="shared" si="40"/>
        <v>4403</v>
      </c>
      <c r="T79" s="196">
        <f t="shared" si="31"/>
        <v>4707838</v>
      </c>
      <c r="U79" s="196">
        <f t="shared" si="36"/>
        <v>23608</v>
      </c>
      <c r="V79" s="79" t="s">
        <v>25</v>
      </c>
      <c r="W79" s="124" t="str">
        <f>IF($W$71="","",IF(Total!E20=0,"",IF(Total!E5="Art. 9","",IF(Total!D3=Tablas!F6,IF(Total!E20="Intermedio",VLOOKUP(Total!E6,G48:J53,4,FALSE)*0.15*G5,IF(Total!E20="Avanzado",VLOOKUP(Total!E6,G48:J53,4,FALSE)*0.3*G5,"")),IF(Total!E20="Intermedio",VLOOKUP(Total!E6,G48:J53,4,FALSE)*0.15*VLOOKUP(Total!D3,F70:R83,13,FALSE),IF(Total!E20="Avanzado",VLOOKUP(Total!E6,G48:J53,4,FALSE)*0.3*VLOOKUP(Total!D3,F70:R83,13,FALSE),""))))))</f>
        <v/>
      </c>
    </row>
    <row r="80" spans="2:38" ht="12.75" customHeight="1" thickBot="1" x14ac:dyDescent="0.25">
      <c r="F80" s="67">
        <f t="shared" si="30"/>
        <v>46419</v>
      </c>
      <c r="G80" s="258">
        <f t="shared" si="37"/>
        <v>189475</v>
      </c>
      <c r="H80" s="258">
        <f t="shared" si="37"/>
        <v>23608</v>
      </c>
      <c r="I80" s="258">
        <f t="shared" si="37"/>
        <v>80121</v>
      </c>
      <c r="J80" s="258">
        <f t="shared" si="37"/>
        <v>56021</v>
      </c>
      <c r="K80" s="258">
        <f t="shared" si="32"/>
        <v>80121</v>
      </c>
      <c r="L80" s="258">
        <f t="shared" si="37"/>
        <v>66874</v>
      </c>
      <c r="M80" s="258">
        <f t="shared" si="37"/>
        <v>98117</v>
      </c>
      <c r="N80" s="258">
        <f t="shared" si="33"/>
        <v>56021</v>
      </c>
      <c r="O80" s="258">
        <f t="shared" si="38"/>
        <v>4707838</v>
      </c>
      <c r="P80" s="67">
        <f t="shared" si="34"/>
        <v>46388</v>
      </c>
      <c r="Q80" s="258">
        <f t="shared" si="39"/>
        <v>907934</v>
      </c>
      <c r="R80" s="259">
        <f t="shared" si="35"/>
        <v>1079.5999999999999</v>
      </c>
      <c r="S80" s="258">
        <f t="shared" si="40"/>
        <v>4403</v>
      </c>
      <c r="T80" s="196">
        <f t="shared" si="31"/>
        <v>4707838</v>
      </c>
      <c r="U80" s="196">
        <f t="shared" si="36"/>
        <v>23608</v>
      </c>
      <c r="V80" s="79" t="s">
        <v>153</v>
      </c>
      <c r="W80" s="124" t="str">
        <f>+IF($W$71="","",IF(OR(K29=0,K29=0.001),"",IF(Total!E5="Art. 9","",K29)))</f>
        <v/>
      </c>
      <c r="X80" s="228"/>
      <c r="Y80" s="224"/>
    </row>
    <row r="81" spans="6:25" ht="12.75" customHeight="1" thickBot="1" x14ac:dyDescent="0.25">
      <c r="F81" s="67">
        <f t="shared" si="30"/>
        <v>46447</v>
      </c>
      <c r="G81" s="258">
        <f t="shared" si="37"/>
        <v>189475</v>
      </c>
      <c r="H81" s="258">
        <f t="shared" si="37"/>
        <v>23608</v>
      </c>
      <c r="I81" s="258">
        <f t="shared" si="37"/>
        <v>80121</v>
      </c>
      <c r="J81" s="258">
        <f t="shared" si="37"/>
        <v>56021</v>
      </c>
      <c r="K81" s="258">
        <f t="shared" si="32"/>
        <v>80121</v>
      </c>
      <c r="L81" s="258">
        <f t="shared" si="37"/>
        <v>66874</v>
      </c>
      <c r="M81" s="258">
        <f t="shared" si="37"/>
        <v>98117</v>
      </c>
      <c r="N81" s="258">
        <f t="shared" si="33"/>
        <v>56021</v>
      </c>
      <c r="O81" s="258">
        <f t="shared" si="38"/>
        <v>4707838</v>
      </c>
      <c r="P81" s="67">
        <f t="shared" si="34"/>
        <v>46419</v>
      </c>
      <c r="Q81" s="258">
        <f t="shared" si="39"/>
        <v>907934</v>
      </c>
      <c r="R81" s="259">
        <f t="shared" si="35"/>
        <v>1079.5999999999999</v>
      </c>
      <c r="S81" s="258">
        <f t="shared" si="40"/>
        <v>4403</v>
      </c>
      <c r="T81" s="196">
        <f t="shared" si="31"/>
        <v>4707838</v>
      </c>
      <c r="U81" s="196">
        <f t="shared" si="36"/>
        <v>23608</v>
      </c>
      <c r="V81" s="79" t="s">
        <v>155</v>
      </c>
      <c r="W81" s="129" t="str">
        <f>+IF($W$71="","",IF(G44=0,"",$G$44))</f>
        <v/>
      </c>
      <c r="X81" s="228"/>
      <c r="Y81" s="224"/>
    </row>
    <row r="82" spans="6:25" ht="12.75" customHeight="1" thickBot="1" x14ac:dyDescent="0.25">
      <c r="F82" s="67">
        <f t="shared" si="30"/>
        <v>46478</v>
      </c>
      <c r="G82" s="258">
        <f t="shared" si="37"/>
        <v>189475</v>
      </c>
      <c r="H82" s="258">
        <f t="shared" si="37"/>
        <v>23608</v>
      </c>
      <c r="I82" s="258">
        <f t="shared" si="37"/>
        <v>80121</v>
      </c>
      <c r="J82" s="258">
        <f t="shared" si="37"/>
        <v>56021</v>
      </c>
      <c r="K82" s="258">
        <f t="shared" si="32"/>
        <v>80121</v>
      </c>
      <c r="L82" s="258">
        <f t="shared" si="37"/>
        <v>66874</v>
      </c>
      <c r="M82" s="258">
        <f t="shared" si="37"/>
        <v>98117</v>
      </c>
      <c r="N82" s="258">
        <f t="shared" si="33"/>
        <v>56021</v>
      </c>
      <c r="O82" s="258">
        <f t="shared" si="38"/>
        <v>4707838</v>
      </c>
      <c r="P82" s="67">
        <f t="shared" si="34"/>
        <v>46447</v>
      </c>
      <c r="Q82" s="258">
        <f t="shared" si="39"/>
        <v>907934</v>
      </c>
      <c r="R82" s="259">
        <f t="shared" si="35"/>
        <v>1079.5999999999999</v>
      </c>
      <c r="S82" s="258">
        <f t="shared" si="40"/>
        <v>4403</v>
      </c>
      <c r="T82" s="196">
        <f t="shared" si="31"/>
        <v>4707838</v>
      </c>
      <c r="U82" s="196">
        <f t="shared" si="36"/>
        <v>23608</v>
      </c>
      <c r="V82" s="79" t="s">
        <v>32</v>
      </c>
      <c r="W82" s="130">
        <f t="shared" ref="W82:W84" si="41">+G32</f>
        <v>0</v>
      </c>
    </row>
    <row r="83" spans="6:25" ht="12.75" customHeight="1" thickBot="1" x14ac:dyDescent="0.25">
      <c r="F83" s="67">
        <f t="shared" si="30"/>
        <v>46508</v>
      </c>
      <c r="G83" s="258">
        <f t="shared" si="37"/>
        <v>189475</v>
      </c>
      <c r="H83" s="258">
        <f t="shared" si="37"/>
        <v>23608</v>
      </c>
      <c r="I83" s="258">
        <f t="shared" si="37"/>
        <v>80121</v>
      </c>
      <c r="J83" s="258">
        <f t="shared" si="37"/>
        <v>56021</v>
      </c>
      <c r="K83" s="258">
        <f t="shared" si="32"/>
        <v>80121</v>
      </c>
      <c r="L83" s="258">
        <f t="shared" si="37"/>
        <v>66874</v>
      </c>
      <c r="M83" s="258">
        <f t="shared" si="37"/>
        <v>98117</v>
      </c>
      <c r="N83" s="258">
        <f t="shared" si="33"/>
        <v>56021</v>
      </c>
      <c r="O83" s="258">
        <f t="shared" si="38"/>
        <v>4707838</v>
      </c>
      <c r="P83" s="67">
        <f t="shared" si="34"/>
        <v>46478</v>
      </c>
      <c r="Q83" s="258">
        <f t="shared" si="39"/>
        <v>907934</v>
      </c>
      <c r="R83" s="259">
        <f t="shared" si="35"/>
        <v>1079.5999999999999</v>
      </c>
      <c r="S83" s="258">
        <f t="shared" si="40"/>
        <v>4403</v>
      </c>
      <c r="T83" s="196">
        <f t="shared" si="31"/>
        <v>4707838</v>
      </c>
      <c r="U83" s="196">
        <f t="shared" si="36"/>
        <v>23608</v>
      </c>
      <c r="V83" s="79" t="s">
        <v>163</v>
      </c>
      <c r="W83" s="135">
        <f t="shared" si="41"/>
        <v>0</v>
      </c>
    </row>
    <row r="84" spans="6:25" ht="12.75" customHeight="1" thickBot="1" x14ac:dyDescent="0.25">
      <c r="F84" s="111" t="s">
        <v>222</v>
      </c>
      <c r="G84" s="63"/>
      <c r="H84" s="63"/>
      <c r="I84" s="72"/>
      <c r="J84" s="72"/>
      <c r="K84" s="72"/>
      <c r="L84" s="72"/>
      <c r="M84" s="72"/>
      <c r="N84" s="72"/>
      <c r="O84" s="258">
        <f t="shared" si="38"/>
        <v>4707838</v>
      </c>
      <c r="P84" s="67">
        <f t="shared" si="34"/>
        <v>46508</v>
      </c>
      <c r="Q84" s="258">
        <f t="shared" si="39"/>
        <v>907934</v>
      </c>
      <c r="R84" s="259">
        <f t="shared" si="35"/>
        <v>1079.5999999999999</v>
      </c>
      <c r="S84" s="258">
        <f t="shared" si="40"/>
        <v>4403</v>
      </c>
      <c r="T84" s="196">
        <f t="shared" si="31"/>
        <v>4707838</v>
      </c>
      <c r="U84" s="196">
        <f t="shared" si="36"/>
        <v>23608</v>
      </c>
      <c r="V84" s="118" t="s">
        <v>167</v>
      </c>
      <c r="W84" s="142">
        <f t="shared" si="41"/>
        <v>0</v>
      </c>
    </row>
    <row r="85" spans="6:25" ht="12.75" customHeight="1" thickBot="1" x14ac:dyDescent="0.25">
      <c r="F85" s="111" t="s">
        <v>225</v>
      </c>
      <c r="M85" s="228"/>
      <c r="N85" s="224"/>
      <c r="V85" s="80"/>
    </row>
    <row r="86" spans="6:25" ht="12.75" customHeight="1" thickBot="1" x14ac:dyDescent="0.25">
      <c r="F86" s="1" t="s">
        <v>223</v>
      </c>
      <c r="N86" s="166">
        <v>0</v>
      </c>
      <c r="O86" s="167">
        <v>1</v>
      </c>
      <c r="P86" s="167">
        <v>2</v>
      </c>
      <c r="Q86" s="167">
        <v>3</v>
      </c>
      <c r="R86" s="167">
        <v>4</v>
      </c>
      <c r="S86" s="167">
        <v>5</v>
      </c>
      <c r="T86" s="167">
        <v>6</v>
      </c>
      <c r="U86" s="167">
        <v>7</v>
      </c>
      <c r="V86" s="167">
        <v>8</v>
      </c>
      <c r="W86" s="167">
        <v>9</v>
      </c>
      <c r="X86" s="168">
        <v>10</v>
      </c>
    </row>
    <row r="87" spans="6:25" ht="12.75" customHeight="1" thickTop="1" thickBot="1" x14ac:dyDescent="0.25">
      <c r="F87" s="1"/>
      <c r="L87" s="198"/>
      <c r="M87" s="186" t="s">
        <v>113</v>
      </c>
      <c r="O87" s="21">
        <f t="shared" ref="O87:X87" si="42">+O55-O48</f>
        <v>21</v>
      </c>
      <c r="P87" s="21">
        <f t="shared" si="42"/>
        <v>41</v>
      </c>
      <c r="Q87" s="21">
        <f t="shared" si="42"/>
        <v>59</v>
      </c>
      <c r="R87" s="21">
        <f t="shared" si="42"/>
        <v>77</v>
      </c>
      <c r="S87" s="21">
        <f t="shared" si="42"/>
        <v>97</v>
      </c>
      <c r="T87" s="21">
        <f t="shared" si="42"/>
        <v>118</v>
      </c>
      <c r="U87" s="21">
        <f t="shared" si="42"/>
        <v>140</v>
      </c>
      <c r="V87" s="21">
        <f t="shared" si="42"/>
        <v>163</v>
      </c>
      <c r="W87" s="21">
        <f t="shared" si="42"/>
        <v>187</v>
      </c>
      <c r="X87" s="21">
        <f t="shared" si="42"/>
        <v>214</v>
      </c>
    </row>
    <row r="88" spans="6:25" ht="12.75" customHeight="1" thickBot="1" x14ac:dyDescent="0.25">
      <c r="M88" s="172" t="s">
        <v>118</v>
      </c>
      <c r="O88" s="21">
        <f t="shared" ref="O88:X88" si="43">+O56-O49</f>
        <v>14</v>
      </c>
      <c r="P88" s="21">
        <f t="shared" si="43"/>
        <v>30</v>
      </c>
      <c r="Q88" s="21">
        <f t="shared" si="43"/>
        <v>46</v>
      </c>
      <c r="R88" s="21">
        <f t="shared" si="43"/>
        <v>59</v>
      </c>
      <c r="S88" s="21">
        <f t="shared" si="43"/>
        <v>73</v>
      </c>
      <c r="T88" s="21">
        <f t="shared" si="43"/>
        <v>87</v>
      </c>
      <c r="U88" s="21">
        <f t="shared" si="43"/>
        <v>103</v>
      </c>
      <c r="V88" s="21">
        <f t="shared" si="43"/>
        <v>119</v>
      </c>
      <c r="W88" s="21">
        <f t="shared" si="43"/>
        <v>136</v>
      </c>
      <c r="X88" s="21">
        <f t="shared" si="43"/>
        <v>155</v>
      </c>
    </row>
    <row r="89" spans="6:25" ht="12.75" customHeight="1" thickBot="1" x14ac:dyDescent="0.25">
      <c r="L89" s="21" t="s">
        <v>224</v>
      </c>
      <c r="M89" s="172" t="s">
        <v>122</v>
      </c>
      <c r="O89" s="21">
        <f t="shared" ref="O89:X89" si="44">+O57-O50</f>
        <v>7</v>
      </c>
      <c r="P89" s="21">
        <f t="shared" si="44"/>
        <v>15</v>
      </c>
      <c r="Q89" s="21">
        <f t="shared" si="44"/>
        <v>27</v>
      </c>
      <c r="R89" s="21">
        <f t="shared" si="44"/>
        <v>33</v>
      </c>
      <c r="S89" s="21">
        <f t="shared" si="44"/>
        <v>42</v>
      </c>
      <c r="T89" s="21">
        <f t="shared" si="44"/>
        <v>51</v>
      </c>
      <c r="U89" s="21">
        <f t="shared" si="44"/>
        <v>62</v>
      </c>
      <c r="V89" s="21">
        <f t="shared" si="44"/>
        <v>72</v>
      </c>
      <c r="W89" s="21">
        <f t="shared" si="44"/>
        <v>83</v>
      </c>
      <c r="X89" s="21">
        <f t="shared" si="44"/>
        <v>95</v>
      </c>
    </row>
    <row r="90" spans="6:25" ht="12.75" customHeight="1" thickBot="1" x14ac:dyDescent="0.25">
      <c r="L90" s="199">
        <v>45047</v>
      </c>
      <c r="M90" s="172" t="s">
        <v>127</v>
      </c>
      <c r="O90" s="21">
        <f t="shared" ref="O90:X90" si="45">+O58-O51</f>
        <v>4</v>
      </c>
      <c r="P90" s="21">
        <f t="shared" si="45"/>
        <v>10</v>
      </c>
      <c r="Q90" s="21">
        <f t="shared" si="45"/>
        <v>16</v>
      </c>
      <c r="R90" s="21">
        <f t="shared" si="45"/>
        <v>21</v>
      </c>
      <c r="S90" s="21">
        <f t="shared" si="45"/>
        <v>28</v>
      </c>
      <c r="T90" s="21">
        <f t="shared" si="45"/>
        <v>35</v>
      </c>
      <c r="U90" s="21">
        <f t="shared" si="45"/>
        <v>43</v>
      </c>
      <c r="V90" s="21">
        <f t="shared" si="45"/>
        <v>51</v>
      </c>
      <c r="W90" s="21">
        <f t="shared" si="45"/>
        <v>59</v>
      </c>
      <c r="X90" s="21">
        <f t="shared" si="45"/>
        <v>68</v>
      </c>
    </row>
    <row r="91" spans="6:25" ht="12.75" customHeight="1" thickBot="1" x14ac:dyDescent="0.25">
      <c r="M91" s="172" t="s">
        <v>130</v>
      </c>
      <c r="O91" s="21">
        <f t="shared" ref="O91:X91" si="46">+O59-O52</f>
        <v>3</v>
      </c>
      <c r="P91" s="21">
        <f t="shared" si="46"/>
        <v>6</v>
      </c>
      <c r="Q91" s="21">
        <f t="shared" si="46"/>
        <v>11</v>
      </c>
      <c r="R91" s="21">
        <f t="shared" si="46"/>
        <v>15</v>
      </c>
      <c r="S91" s="21">
        <f t="shared" si="46"/>
        <v>20</v>
      </c>
      <c r="T91" s="21">
        <f t="shared" si="46"/>
        <v>25</v>
      </c>
      <c r="U91" s="21">
        <f t="shared" si="46"/>
        <v>31</v>
      </c>
      <c r="V91" s="21">
        <f t="shared" si="46"/>
        <v>37</v>
      </c>
      <c r="W91" s="21">
        <f t="shared" si="46"/>
        <v>44</v>
      </c>
      <c r="X91" s="21">
        <f t="shared" si="46"/>
        <v>51</v>
      </c>
    </row>
    <row r="92" spans="6:25" ht="12.75" customHeight="1" thickBot="1" x14ac:dyDescent="0.25">
      <c r="M92" s="180" t="s">
        <v>132</v>
      </c>
      <c r="O92" s="21">
        <f t="shared" ref="O92:X92" si="47">+O60-O53</f>
        <v>2</v>
      </c>
      <c r="P92" s="21">
        <f t="shared" si="47"/>
        <v>4</v>
      </c>
      <c r="Q92" s="21">
        <f t="shared" si="47"/>
        <v>7</v>
      </c>
      <c r="R92" s="21">
        <f t="shared" si="47"/>
        <v>10</v>
      </c>
      <c r="S92" s="21">
        <f t="shared" si="47"/>
        <v>14</v>
      </c>
      <c r="T92" s="21">
        <f t="shared" si="47"/>
        <v>17</v>
      </c>
      <c r="U92" s="21">
        <f t="shared" si="47"/>
        <v>21</v>
      </c>
      <c r="V92" s="21">
        <f t="shared" si="47"/>
        <v>26</v>
      </c>
      <c r="W92" s="21">
        <f t="shared" si="47"/>
        <v>31</v>
      </c>
      <c r="X92" s="21">
        <f t="shared" si="47"/>
        <v>37</v>
      </c>
    </row>
    <row r="93" spans="6:25" ht="12.75" customHeight="1" thickTop="1" thickBot="1" x14ac:dyDescent="0.25">
      <c r="N93" s="166">
        <v>0</v>
      </c>
      <c r="O93" s="167">
        <v>1</v>
      </c>
      <c r="P93" s="167">
        <v>2</v>
      </c>
      <c r="Q93" s="167">
        <v>3</v>
      </c>
      <c r="R93" s="167">
        <v>4</v>
      </c>
      <c r="S93" s="167">
        <v>5</v>
      </c>
      <c r="T93" s="167">
        <v>6</v>
      </c>
      <c r="U93" s="167">
        <v>7</v>
      </c>
      <c r="V93" s="167">
        <v>8</v>
      </c>
      <c r="W93" s="167">
        <v>9</v>
      </c>
      <c r="X93" s="168">
        <v>10</v>
      </c>
    </row>
    <row r="94" spans="6:25" ht="12.75" customHeight="1" thickTop="1" thickBot="1" x14ac:dyDescent="0.25">
      <c r="M94" s="186" t="s">
        <v>113</v>
      </c>
      <c r="O94" s="200">
        <f t="shared" ref="O94:X94" si="48">+O87/O48</f>
        <v>0.24705882352941178</v>
      </c>
      <c r="P94" s="200">
        <f t="shared" si="48"/>
        <v>0.24550898203592814</v>
      </c>
      <c r="Q94" s="200">
        <f t="shared" si="48"/>
        <v>0.24686192468619247</v>
      </c>
      <c r="R94" s="200">
        <f t="shared" si="48"/>
        <v>0.24522292993630573</v>
      </c>
      <c r="S94" s="200">
        <f t="shared" si="48"/>
        <v>0.24619289340101522</v>
      </c>
      <c r="T94" s="200">
        <f t="shared" si="48"/>
        <v>0.24686192468619247</v>
      </c>
      <c r="U94" s="200">
        <f t="shared" si="48"/>
        <v>0.24691358024691357</v>
      </c>
      <c r="V94" s="200">
        <f t="shared" si="48"/>
        <v>0.24659606656580937</v>
      </c>
      <c r="W94" s="200">
        <f t="shared" si="48"/>
        <v>0.24572930354796321</v>
      </c>
      <c r="X94" s="200">
        <f t="shared" si="48"/>
        <v>0.24682814302191464</v>
      </c>
    </row>
    <row r="95" spans="6:25" ht="12.75" customHeight="1" thickBot="1" x14ac:dyDescent="0.25">
      <c r="M95" s="172" t="s">
        <v>118</v>
      </c>
      <c r="O95" s="200">
        <f t="shared" ref="O95:X95" si="49">+O88/O49</f>
        <v>0.2413793103448276</v>
      </c>
      <c r="P95" s="200">
        <f t="shared" si="49"/>
        <v>0.25</v>
      </c>
      <c r="Q95" s="200">
        <f t="shared" si="49"/>
        <v>0.24864864864864866</v>
      </c>
      <c r="R95" s="200">
        <f t="shared" si="49"/>
        <v>0.24686192468619247</v>
      </c>
      <c r="S95" s="200">
        <f t="shared" si="49"/>
        <v>0.24745762711864408</v>
      </c>
      <c r="T95" s="200">
        <f t="shared" si="49"/>
        <v>0.24507042253521127</v>
      </c>
      <c r="U95" s="200">
        <f t="shared" si="49"/>
        <v>0.24641148325358853</v>
      </c>
      <c r="V95" s="200">
        <f t="shared" si="49"/>
        <v>0.24586776859504134</v>
      </c>
      <c r="W95" s="200">
        <f t="shared" si="49"/>
        <v>0.24548736462093862</v>
      </c>
      <c r="X95" s="200">
        <f t="shared" si="49"/>
        <v>0.24681528662420382</v>
      </c>
    </row>
    <row r="96" spans="6:25" ht="12.75" customHeight="1" thickBot="1" x14ac:dyDescent="0.25">
      <c r="L96" s="21" t="s">
        <v>94</v>
      </c>
      <c r="M96" s="172" t="s">
        <v>122</v>
      </c>
      <c r="O96" s="200">
        <f t="shared" ref="O96:X96" si="50">+O89/O50</f>
        <v>0.25925925925925924</v>
      </c>
      <c r="P96" s="200">
        <f t="shared" si="50"/>
        <v>0.24590163934426229</v>
      </c>
      <c r="Q96" s="200">
        <f t="shared" si="50"/>
        <v>0.24770642201834864</v>
      </c>
      <c r="R96" s="200">
        <f t="shared" si="50"/>
        <v>0.2462686567164179</v>
      </c>
      <c r="S96" s="200">
        <f t="shared" si="50"/>
        <v>0.24705882352941178</v>
      </c>
      <c r="T96" s="200">
        <f t="shared" si="50"/>
        <v>0.24401913875598086</v>
      </c>
      <c r="U96" s="200">
        <f t="shared" si="50"/>
        <v>0.248</v>
      </c>
      <c r="V96" s="200">
        <f t="shared" si="50"/>
        <v>0.24573378839590443</v>
      </c>
      <c r="W96" s="200">
        <f t="shared" si="50"/>
        <v>0.2455621301775148</v>
      </c>
      <c r="X96" s="200">
        <f t="shared" si="50"/>
        <v>0.24611398963730569</v>
      </c>
    </row>
    <row r="97" spans="6:24" ht="12.75" customHeight="1" thickBot="1" x14ac:dyDescent="0.25">
      <c r="L97" s="199">
        <v>45047</v>
      </c>
      <c r="M97" s="172" t="s">
        <v>127</v>
      </c>
      <c r="O97" s="200">
        <f t="shared" ref="O97:X97" si="51">+O90/O51</f>
        <v>0.22222222222222221</v>
      </c>
      <c r="P97" s="200">
        <f t="shared" si="51"/>
        <v>0.25</v>
      </c>
      <c r="Q97" s="200">
        <f t="shared" si="51"/>
        <v>0.25396825396825395</v>
      </c>
      <c r="R97" s="200">
        <f t="shared" si="51"/>
        <v>0.2413793103448276</v>
      </c>
      <c r="S97" s="200">
        <f t="shared" si="51"/>
        <v>0.24347826086956523</v>
      </c>
      <c r="T97" s="200">
        <f t="shared" si="51"/>
        <v>0.24305555555555555</v>
      </c>
      <c r="U97" s="200">
        <f t="shared" si="51"/>
        <v>0.24571428571428572</v>
      </c>
      <c r="V97" s="200">
        <f t="shared" si="51"/>
        <v>0.24637681159420291</v>
      </c>
      <c r="W97" s="200">
        <f t="shared" si="51"/>
        <v>0.24481327800829875</v>
      </c>
      <c r="X97" s="200">
        <f t="shared" si="51"/>
        <v>0.24548736462093862</v>
      </c>
    </row>
    <row r="98" spans="6:24" ht="12.75" customHeight="1" thickBot="1" x14ac:dyDescent="0.25">
      <c r="M98" s="172" t="s">
        <v>130</v>
      </c>
      <c r="O98" s="200">
        <f t="shared" ref="O98:X98" si="52">+O91/O52</f>
        <v>0.27272727272727271</v>
      </c>
      <c r="P98" s="200">
        <f t="shared" si="52"/>
        <v>0.24</v>
      </c>
      <c r="Q98" s="200">
        <f t="shared" si="52"/>
        <v>0.2558139534883721</v>
      </c>
      <c r="R98" s="200">
        <f t="shared" si="52"/>
        <v>0.24193548387096775</v>
      </c>
      <c r="S98" s="200">
        <f t="shared" si="52"/>
        <v>0.24390243902439024</v>
      </c>
      <c r="T98" s="200">
        <f t="shared" si="52"/>
        <v>0.24271844660194175</v>
      </c>
      <c r="U98" s="200">
        <f t="shared" si="52"/>
        <v>0.24409448818897639</v>
      </c>
      <c r="V98" s="200">
        <f t="shared" si="52"/>
        <v>0.24342105263157895</v>
      </c>
      <c r="W98" s="200">
        <f t="shared" si="52"/>
        <v>0.24581005586592178</v>
      </c>
      <c r="X98" s="200">
        <f t="shared" si="52"/>
        <v>0.24637681159420291</v>
      </c>
    </row>
    <row r="99" spans="6:24" ht="12.75" customHeight="1" thickBot="1" x14ac:dyDescent="0.25">
      <c r="M99" s="180" t="s">
        <v>132</v>
      </c>
      <c r="O99" s="200">
        <f t="shared" ref="O99:X99" si="53">+O92/O53</f>
        <v>0.22222222222222221</v>
      </c>
      <c r="P99" s="200">
        <f t="shared" si="53"/>
        <v>0.22222222222222221</v>
      </c>
      <c r="Q99" s="200">
        <f t="shared" si="53"/>
        <v>0.25925925925925924</v>
      </c>
      <c r="R99" s="200">
        <f t="shared" si="53"/>
        <v>0.24390243902439024</v>
      </c>
      <c r="S99" s="200">
        <f t="shared" si="53"/>
        <v>0.25454545454545452</v>
      </c>
      <c r="T99" s="200">
        <f t="shared" si="53"/>
        <v>0.24285714285714285</v>
      </c>
      <c r="U99" s="200">
        <f t="shared" si="53"/>
        <v>0.24705882352941178</v>
      </c>
      <c r="V99" s="200">
        <f t="shared" si="53"/>
        <v>0.24528301886792453</v>
      </c>
      <c r="W99" s="200">
        <f t="shared" si="53"/>
        <v>0.24409448818897639</v>
      </c>
      <c r="X99" s="200">
        <f t="shared" si="53"/>
        <v>0.24832214765100671</v>
      </c>
    </row>
    <row r="100" spans="6:24" ht="12.75" customHeight="1" thickTop="1" thickBot="1" x14ac:dyDescent="0.25">
      <c r="N100" s="166">
        <v>0</v>
      </c>
      <c r="O100" s="167">
        <v>1</v>
      </c>
      <c r="P100" s="167">
        <v>2</v>
      </c>
      <c r="Q100" s="167">
        <v>3</v>
      </c>
      <c r="R100" s="167">
        <v>4</v>
      </c>
      <c r="S100" s="167">
        <v>5</v>
      </c>
      <c r="T100" s="167">
        <v>6</v>
      </c>
      <c r="U100" s="167">
        <v>7</v>
      </c>
      <c r="V100" s="167">
        <v>8</v>
      </c>
      <c r="W100" s="167">
        <v>9</v>
      </c>
      <c r="X100" s="168">
        <v>10</v>
      </c>
    </row>
    <row r="101" spans="6:24" ht="12.75" customHeight="1" thickTop="1" thickBot="1" x14ac:dyDescent="0.25">
      <c r="M101" s="186" t="s">
        <v>113</v>
      </c>
      <c r="O101" s="21">
        <f t="shared" ref="O101:X101" si="54">+O62-O48</f>
        <v>36</v>
      </c>
      <c r="P101" s="21">
        <f t="shared" si="54"/>
        <v>71</v>
      </c>
      <c r="Q101" s="21">
        <f t="shared" si="54"/>
        <v>101</v>
      </c>
      <c r="R101" s="21">
        <f t="shared" si="54"/>
        <v>132</v>
      </c>
      <c r="S101" s="21">
        <f t="shared" si="54"/>
        <v>166</v>
      </c>
      <c r="T101" s="21">
        <f t="shared" si="54"/>
        <v>202</v>
      </c>
      <c r="U101" s="21">
        <f t="shared" si="54"/>
        <v>239</v>
      </c>
      <c r="V101" s="21">
        <f t="shared" si="54"/>
        <v>279</v>
      </c>
      <c r="W101" s="21">
        <f t="shared" si="54"/>
        <v>320</v>
      </c>
      <c r="X101" s="21">
        <f t="shared" si="54"/>
        <v>366</v>
      </c>
    </row>
    <row r="102" spans="6:24" ht="15.75" customHeight="1" x14ac:dyDescent="0.2">
      <c r="L102" s="21" t="s">
        <v>224</v>
      </c>
      <c r="M102" s="172" t="s">
        <v>118</v>
      </c>
      <c r="O102" s="21">
        <f t="shared" ref="O102:X102" si="55">+O63-O49</f>
        <v>25</v>
      </c>
      <c r="P102" s="21">
        <f t="shared" si="55"/>
        <v>51</v>
      </c>
      <c r="Q102" s="21">
        <f t="shared" si="55"/>
        <v>79</v>
      </c>
      <c r="R102" s="21">
        <f t="shared" si="55"/>
        <v>101</v>
      </c>
      <c r="S102" s="21">
        <f t="shared" si="55"/>
        <v>125</v>
      </c>
      <c r="T102" s="21">
        <f t="shared" si="55"/>
        <v>149</v>
      </c>
      <c r="U102" s="21">
        <f t="shared" si="55"/>
        <v>176</v>
      </c>
      <c r="V102" s="21">
        <f t="shared" si="55"/>
        <v>204</v>
      </c>
      <c r="W102" s="21">
        <f t="shared" si="55"/>
        <v>233</v>
      </c>
      <c r="X102" s="21">
        <f t="shared" si="55"/>
        <v>265</v>
      </c>
    </row>
    <row r="103" spans="6:24" ht="15.75" customHeight="1" x14ac:dyDescent="0.2">
      <c r="F103" s="201"/>
      <c r="L103" s="199">
        <v>45139</v>
      </c>
      <c r="M103" s="172" t="s">
        <v>122</v>
      </c>
      <c r="O103" s="21">
        <f t="shared" ref="O103:X103" si="56">+O64-O50</f>
        <v>12</v>
      </c>
      <c r="P103" s="21">
        <f t="shared" si="56"/>
        <v>26</v>
      </c>
      <c r="Q103" s="21">
        <f t="shared" si="56"/>
        <v>47</v>
      </c>
      <c r="R103" s="21">
        <f t="shared" si="56"/>
        <v>57</v>
      </c>
      <c r="S103" s="21">
        <f t="shared" si="56"/>
        <v>72</v>
      </c>
      <c r="T103" s="21">
        <f t="shared" si="56"/>
        <v>88</v>
      </c>
      <c r="U103" s="21">
        <f t="shared" si="56"/>
        <v>106</v>
      </c>
      <c r="V103" s="21">
        <f t="shared" si="56"/>
        <v>124</v>
      </c>
      <c r="W103" s="21">
        <f t="shared" si="56"/>
        <v>142</v>
      </c>
      <c r="X103" s="21">
        <f t="shared" si="56"/>
        <v>163</v>
      </c>
    </row>
    <row r="104" spans="6:24" ht="15.75" customHeight="1" x14ac:dyDescent="0.2">
      <c r="M104" s="172" t="s">
        <v>127</v>
      </c>
      <c r="O104" s="21">
        <f t="shared" ref="O104:X104" si="57">+O65-O51</f>
        <v>8</v>
      </c>
      <c r="P104" s="21">
        <f t="shared" si="57"/>
        <v>17</v>
      </c>
      <c r="Q104" s="21">
        <f t="shared" si="57"/>
        <v>28</v>
      </c>
      <c r="R104" s="21">
        <f t="shared" si="57"/>
        <v>37</v>
      </c>
      <c r="S104" s="21">
        <f t="shared" si="57"/>
        <v>49</v>
      </c>
      <c r="T104" s="21">
        <f t="shared" si="57"/>
        <v>61</v>
      </c>
      <c r="U104" s="21">
        <f t="shared" si="57"/>
        <v>74</v>
      </c>
      <c r="V104" s="21">
        <f t="shared" si="57"/>
        <v>88</v>
      </c>
      <c r="W104" s="21">
        <f t="shared" si="57"/>
        <v>101</v>
      </c>
      <c r="X104" s="21">
        <f t="shared" si="57"/>
        <v>117</v>
      </c>
    </row>
    <row r="105" spans="6:24" ht="15.75" customHeight="1" x14ac:dyDescent="0.2">
      <c r="M105" s="172" t="s">
        <v>130</v>
      </c>
      <c r="O105" s="21">
        <f t="shared" ref="O105:X105" si="58">+O66-O52</f>
        <v>5</v>
      </c>
      <c r="P105" s="21">
        <f t="shared" si="58"/>
        <v>11</v>
      </c>
      <c r="Q105" s="21">
        <f t="shared" si="58"/>
        <v>19</v>
      </c>
      <c r="R105" s="21">
        <f t="shared" si="58"/>
        <v>26</v>
      </c>
      <c r="S105" s="21">
        <f t="shared" si="58"/>
        <v>35</v>
      </c>
      <c r="T105" s="21">
        <f t="shared" si="58"/>
        <v>43</v>
      </c>
      <c r="U105" s="21">
        <f t="shared" si="58"/>
        <v>54</v>
      </c>
      <c r="V105" s="21">
        <f t="shared" si="58"/>
        <v>64</v>
      </c>
      <c r="W105" s="21">
        <f t="shared" si="58"/>
        <v>76</v>
      </c>
      <c r="X105" s="21">
        <f t="shared" si="58"/>
        <v>88</v>
      </c>
    </row>
    <row r="106" spans="6:24" ht="15.75" customHeight="1" x14ac:dyDescent="0.2">
      <c r="M106" s="180" t="s">
        <v>132</v>
      </c>
      <c r="O106" s="21">
        <f t="shared" ref="O106:X106" si="59">+O67-O53</f>
        <v>4</v>
      </c>
      <c r="P106" s="21">
        <f t="shared" si="59"/>
        <v>8</v>
      </c>
      <c r="Q106" s="21">
        <f t="shared" si="59"/>
        <v>12</v>
      </c>
      <c r="R106" s="21">
        <f t="shared" si="59"/>
        <v>18</v>
      </c>
      <c r="S106" s="21">
        <f t="shared" si="59"/>
        <v>24</v>
      </c>
      <c r="T106" s="21">
        <f t="shared" si="59"/>
        <v>30</v>
      </c>
      <c r="U106" s="21">
        <f t="shared" si="59"/>
        <v>36</v>
      </c>
      <c r="V106" s="21">
        <f t="shared" si="59"/>
        <v>45</v>
      </c>
      <c r="W106" s="21">
        <f t="shared" si="59"/>
        <v>54</v>
      </c>
      <c r="X106" s="21">
        <f t="shared" si="59"/>
        <v>64</v>
      </c>
    </row>
    <row r="107" spans="6:24" ht="15.75" customHeight="1" x14ac:dyDescent="0.2">
      <c r="N107" s="166">
        <v>0</v>
      </c>
      <c r="O107" s="167">
        <v>1</v>
      </c>
      <c r="P107" s="167">
        <v>2</v>
      </c>
      <c r="Q107" s="167">
        <v>3</v>
      </c>
      <c r="R107" s="167">
        <v>4</v>
      </c>
      <c r="S107" s="167">
        <v>5</v>
      </c>
      <c r="T107" s="167">
        <v>6</v>
      </c>
      <c r="U107" s="167">
        <v>7</v>
      </c>
      <c r="V107" s="167">
        <v>8</v>
      </c>
      <c r="W107" s="167">
        <v>9</v>
      </c>
      <c r="X107" s="168">
        <v>10</v>
      </c>
    </row>
    <row r="108" spans="6:24" ht="15.75" customHeight="1" x14ac:dyDescent="0.2">
      <c r="M108" s="186" t="s">
        <v>113</v>
      </c>
      <c r="O108" s="200">
        <f t="shared" ref="O108:X108" si="60">+O101/O48</f>
        <v>0.42352941176470588</v>
      </c>
      <c r="P108" s="200">
        <f t="shared" si="60"/>
        <v>0.42514970059880242</v>
      </c>
      <c r="Q108" s="200">
        <f t="shared" si="60"/>
        <v>0.42259414225941422</v>
      </c>
      <c r="R108" s="200">
        <f t="shared" si="60"/>
        <v>0.42038216560509556</v>
      </c>
      <c r="S108" s="200">
        <f t="shared" si="60"/>
        <v>0.42131979695431471</v>
      </c>
      <c r="T108" s="200">
        <f t="shared" si="60"/>
        <v>0.42259414225941422</v>
      </c>
      <c r="U108" s="200">
        <f t="shared" si="60"/>
        <v>0.42151675485008816</v>
      </c>
      <c r="V108" s="200">
        <f t="shared" si="60"/>
        <v>0.42208774583963693</v>
      </c>
      <c r="W108" s="200">
        <f t="shared" si="60"/>
        <v>0.42049934296977659</v>
      </c>
      <c r="X108" s="200">
        <f t="shared" si="60"/>
        <v>0.42214532871972316</v>
      </c>
    </row>
    <row r="109" spans="6:24" ht="15.75" customHeight="1" x14ac:dyDescent="0.2">
      <c r="M109" s="172" t="s">
        <v>118</v>
      </c>
      <c r="O109" s="200">
        <f t="shared" ref="O109:X109" si="61">+O102/O49</f>
        <v>0.43103448275862066</v>
      </c>
      <c r="P109" s="200">
        <f t="shared" si="61"/>
        <v>0.42499999999999999</v>
      </c>
      <c r="Q109" s="200">
        <f t="shared" si="61"/>
        <v>0.42702702702702705</v>
      </c>
      <c r="R109" s="200">
        <f t="shared" si="61"/>
        <v>0.42259414225941422</v>
      </c>
      <c r="S109" s="200">
        <f t="shared" si="61"/>
        <v>0.42372881355932202</v>
      </c>
      <c r="T109" s="200">
        <f t="shared" si="61"/>
        <v>0.41971830985915493</v>
      </c>
      <c r="U109" s="200">
        <f t="shared" si="61"/>
        <v>0.42105263157894735</v>
      </c>
      <c r="V109" s="200">
        <f t="shared" si="61"/>
        <v>0.42148760330578511</v>
      </c>
      <c r="W109" s="200">
        <f t="shared" si="61"/>
        <v>0.42057761732851984</v>
      </c>
      <c r="X109" s="200">
        <f t="shared" si="61"/>
        <v>0.42197452229299365</v>
      </c>
    </row>
    <row r="110" spans="6:24" ht="15.75" customHeight="1" x14ac:dyDescent="0.2">
      <c r="L110" s="21" t="s">
        <v>94</v>
      </c>
      <c r="M110" s="172" t="s">
        <v>122</v>
      </c>
      <c r="O110" s="200">
        <f t="shared" ref="O110:X110" si="62">+O103/O50</f>
        <v>0.44444444444444442</v>
      </c>
      <c r="P110" s="200">
        <f t="shared" si="62"/>
        <v>0.42622950819672129</v>
      </c>
      <c r="Q110" s="200">
        <f t="shared" si="62"/>
        <v>0.43119266055045874</v>
      </c>
      <c r="R110" s="200">
        <f t="shared" si="62"/>
        <v>0.42537313432835822</v>
      </c>
      <c r="S110" s="200">
        <f t="shared" si="62"/>
        <v>0.42352941176470588</v>
      </c>
      <c r="T110" s="200">
        <f t="shared" si="62"/>
        <v>0.42105263157894735</v>
      </c>
      <c r="U110" s="200">
        <f t="shared" si="62"/>
        <v>0.42399999999999999</v>
      </c>
      <c r="V110" s="200">
        <f t="shared" si="62"/>
        <v>0.42320819112627989</v>
      </c>
      <c r="W110" s="200">
        <f t="shared" si="62"/>
        <v>0.42011834319526625</v>
      </c>
      <c r="X110" s="200">
        <f t="shared" si="62"/>
        <v>0.42227979274611399</v>
      </c>
    </row>
    <row r="111" spans="6:24" ht="15.75" customHeight="1" x14ac:dyDescent="0.2">
      <c r="L111" s="199">
        <v>45139</v>
      </c>
      <c r="M111" s="172" t="s">
        <v>127</v>
      </c>
      <c r="O111" s="200">
        <f t="shared" ref="O111:X111" si="63">+O104/O51</f>
        <v>0.44444444444444442</v>
      </c>
      <c r="P111" s="200">
        <f t="shared" si="63"/>
        <v>0.42499999999999999</v>
      </c>
      <c r="Q111" s="200">
        <f t="shared" si="63"/>
        <v>0.44444444444444442</v>
      </c>
      <c r="R111" s="200">
        <f t="shared" si="63"/>
        <v>0.42528735632183906</v>
      </c>
      <c r="S111" s="200">
        <f t="shared" si="63"/>
        <v>0.42608695652173911</v>
      </c>
      <c r="T111" s="200">
        <f t="shared" si="63"/>
        <v>0.4236111111111111</v>
      </c>
      <c r="U111" s="200">
        <f t="shared" si="63"/>
        <v>0.42285714285714288</v>
      </c>
      <c r="V111" s="200">
        <f t="shared" si="63"/>
        <v>0.4251207729468599</v>
      </c>
      <c r="W111" s="200">
        <f t="shared" si="63"/>
        <v>0.41908713692946059</v>
      </c>
      <c r="X111" s="200">
        <f t="shared" si="63"/>
        <v>0.42238267148014441</v>
      </c>
    </row>
    <row r="112" spans="6:24" ht="15.75" customHeight="1" x14ac:dyDescent="0.2">
      <c r="M112" s="172" t="s">
        <v>130</v>
      </c>
      <c r="O112" s="200">
        <f t="shared" ref="O112:X112" si="64">+O105/O52</f>
        <v>0.45454545454545453</v>
      </c>
      <c r="P112" s="200">
        <f t="shared" si="64"/>
        <v>0.44</v>
      </c>
      <c r="Q112" s="200">
        <f t="shared" si="64"/>
        <v>0.44186046511627908</v>
      </c>
      <c r="R112" s="200">
        <f t="shared" si="64"/>
        <v>0.41935483870967744</v>
      </c>
      <c r="S112" s="200">
        <f t="shared" si="64"/>
        <v>0.42682926829268292</v>
      </c>
      <c r="T112" s="200">
        <f t="shared" si="64"/>
        <v>0.41747572815533979</v>
      </c>
      <c r="U112" s="200">
        <f t="shared" si="64"/>
        <v>0.42519685039370081</v>
      </c>
      <c r="V112" s="200">
        <f t="shared" si="64"/>
        <v>0.42105263157894735</v>
      </c>
      <c r="W112" s="200">
        <f t="shared" si="64"/>
        <v>0.42458100558659218</v>
      </c>
      <c r="X112" s="200">
        <f t="shared" si="64"/>
        <v>0.4251207729468599</v>
      </c>
    </row>
    <row r="113" spans="13:24" ht="15.75" customHeight="1" x14ac:dyDescent="0.2">
      <c r="M113" s="180" t="s">
        <v>132</v>
      </c>
      <c r="O113" s="200">
        <f t="shared" ref="O113:X113" si="65">+O106/O53</f>
        <v>0.44444444444444442</v>
      </c>
      <c r="P113" s="200">
        <f t="shared" si="65"/>
        <v>0.44444444444444442</v>
      </c>
      <c r="Q113" s="200">
        <f t="shared" si="65"/>
        <v>0.44444444444444442</v>
      </c>
      <c r="R113" s="200">
        <f t="shared" si="65"/>
        <v>0.43902439024390244</v>
      </c>
      <c r="S113" s="200">
        <f t="shared" si="65"/>
        <v>0.43636363636363634</v>
      </c>
      <c r="T113" s="200">
        <f t="shared" si="65"/>
        <v>0.42857142857142855</v>
      </c>
      <c r="U113" s="200">
        <f t="shared" si="65"/>
        <v>0.42352941176470588</v>
      </c>
      <c r="V113" s="200">
        <f t="shared" si="65"/>
        <v>0.42452830188679247</v>
      </c>
      <c r="W113" s="200">
        <f t="shared" si="65"/>
        <v>0.42519685039370081</v>
      </c>
      <c r="X113" s="200">
        <f t="shared" si="65"/>
        <v>0.42953020134228187</v>
      </c>
    </row>
    <row r="114" spans="13:24" ht="15.75" customHeight="1" x14ac:dyDescent="0.2"/>
    <row r="115" spans="13:24" ht="15.75" customHeight="1" x14ac:dyDescent="0.2"/>
    <row r="116" spans="13:24" ht="15.75" customHeight="1" x14ac:dyDescent="0.2"/>
    <row r="117" spans="13:24" ht="15.75" customHeight="1" x14ac:dyDescent="0.2"/>
    <row r="118" spans="13:24" ht="15.75" customHeight="1" x14ac:dyDescent="0.2"/>
    <row r="119" spans="13:24" ht="15.75" customHeight="1" x14ac:dyDescent="0.2"/>
    <row r="120" spans="13:24" ht="15.75" customHeight="1" x14ac:dyDescent="0.2"/>
    <row r="121" spans="13:24" ht="15.75" customHeight="1" x14ac:dyDescent="0.2"/>
    <row r="122" spans="13:24" ht="15.75" customHeight="1" x14ac:dyDescent="0.2"/>
    <row r="123" spans="13:24" ht="15.75" customHeight="1" x14ac:dyDescent="0.2"/>
    <row r="124" spans="13:24" ht="15.75" customHeight="1" x14ac:dyDescent="0.2"/>
    <row r="125" spans="13:24" ht="15.75" customHeight="1" x14ac:dyDescent="0.2"/>
    <row r="126" spans="13:24" ht="15.75" customHeight="1" x14ac:dyDescent="0.2"/>
    <row r="127" spans="13:24" ht="15.75" customHeight="1" x14ac:dyDescent="0.2"/>
    <row r="128" spans="13:24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</sheetData>
  <mergeCells count="9">
    <mergeCell ref="H46:J46"/>
    <mergeCell ref="N46:X46"/>
    <mergeCell ref="E62:E67"/>
    <mergeCell ref="I69:N69"/>
    <mergeCell ref="M20:P20"/>
    <mergeCell ref="M32:N32"/>
    <mergeCell ref="T32:U32"/>
    <mergeCell ref="I35:J35"/>
    <mergeCell ref="E36:E44"/>
  </mergeCells>
  <pageMargins left="0.7" right="0.7" top="0.75" bottom="0.75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</vt:lpstr>
      <vt:lpstr>Tablas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Laura Lindenboim</dc:creator>
  <cp:lastModifiedBy>Irene Laura Lindenboim</cp:lastModifiedBy>
  <dcterms:created xsi:type="dcterms:W3CDTF">2022-11-24T17:25:55Z</dcterms:created>
  <dcterms:modified xsi:type="dcterms:W3CDTF">2026-07-06T13:38:01Z</dcterms:modified>
</cp:coreProperties>
</file>